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311"/>
  <workbookPr/>
  <mc:AlternateContent xmlns:mc="http://schemas.openxmlformats.org/markup-compatibility/2006">
    <mc:Choice Requires="x15">
      <x15ac:absPath xmlns:x15ac="http://schemas.microsoft.com/office/spreadsheetml/2010/11/ac" url="/Users/marlenelund/Downloads/"/>
    </mc:Choice>
  </mc:AlternateContent>
  <bookViews>
    <workbookView xWindow="0" yWindow="460" windowWidth="28800" windowHeight="16000" tabRatio="500" activeTab="8"/>
  </bookViews>
  <sheets>
    <sheet name="Case cost study" sheetId="1" r:id="rId1"/>
    <sheet name="Installation Factors" sheetId="2" r:id="rId2"/>
    <sheet name="Full cost calculation" sheetId="3" r:id="rId3"/>
    <sheet name="Investment analysis" sheetId="4" r:id="rId4"/>
    <sheet name="__Solver__" sheetId="5" state="hidden" r:id="rId5"/>
    <sheet name="Power consumption" sheetId="6" r:id="rId6"/>
    <sheet name="Pumps" sheetId="7" r:id="rId7"/>
    <sheet name="Compressors" sheetId="8" r:id="rId8"/>
    <sheet name="Separators" sheetId="9" r:id="rId9"/>
    <sheet name="Flowlines and risers" sheetId="10" r:id="rId10"/>
    <sheet name="Umbilicals" sheetId="11" r:id="rId11"/>
    <sheet name="Hydrocyclone" sheetId="12" r:id="rId12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1" i="9" l="1"/>
  <c r="C26" i="1"/>
  <c r="E14" i="1"/>
  <c r="C29" i="3"/>
  <c r="B5" i="2"/>
  <c r="D11" i="12"/>
  <c r="B11" i="12"/>
  <c r="F11" i="12"/>
  <c r="D14" i="11"/>
  <c r="D8" i="11"/>
  <c r="F16" i="10"/>
  <c r="H16" i="10"/>
  <c r="H17" i="10"/>
  <c r="H18" i="10"/>
  <c r="F5" i="10"/>
  <c r="H5" i="10"/>
  <c r="H6" i="10"/>
  <c r="F7" i="10"/>
  <c r="H7" i="10"/>
  <c r="H8" i="10"/>
  <c r="H9" i="10"/>
  <c r="E41" i="9"/>
  <c r="F41" i="9"/>
  <c r="H41" i="9"/>
  <c r="I41" i="9"/>
  <c r="B45" i="9"/>
  <c r="J41" i="9"/>
  <c r="C45" i="9"/>
  <c r="F45" i="9"/>
  <c r="B49" i="9"/>
  <c r="C14" i="9"/>
  <c r="C35" i="9"/>
  <c r="C49" i="9"/>
  <c r="D49" i="9"/>
  <c r="D21" i="9"/>
  <c r="F21" i="9"/>
  <c r="H21" i="9"/>
  <c r="I21" i="9"/>
  <c r="K21" i="9"/>
  <c r="J21" i="9"/>
  <c r="L21" i="9"/>
  <c r="E21" i="9"/>
  <c r="G21" i="9"/>
  <c r="M21" i="9"/>
  <c r="O21" i="9"/>
  <c r="B31" i="9"/>
  <c r="P21" i="9"/>
  <c r="C31" i="9"/>
  <c r="F31" i="9"/>
  <c r="B35" i="9"/>
  <c r="D35" i="9"/>
  <c r="D25" i="9"/>
  <c r="F25" i="9"/>
  <c r="H25" i="9"/>
  <c r="I25" i="9"/>
  <c r="K25" i="9"/>
  <c r="J25" i="9"/>
  <c r="L25" i="9"/>
  <c r="E25" i="9"/>
  <c r="G25" i="9"/>
  <c r="M25" i="9"/>
  <c r="O25" i="9"/>
  <c r="P25" i="9"/>
  <c r="Q25" i="9"/>
  <c r="Q21" i="9"/>
  <c r="D6" i="9"/>
  <c r="F6" i="9"/>
  <c r="H6" i="9"/>
  <c r="I6" i="9"/>
  <c r="K6" i="9"/>
  <c r="J6" i="9"/>
  <c r="L6" i="9"/>
  <c r="E6" i="9"/>
  <c r="G6" i="9"/>
  <c r="M6" i="9"/>
  <c r="O6" i="9"/>
  <c r="B10" i="9"/>
  <c r="P6" i="9"/>
  <c r="C10" i="9"/>
  <c r="E10" i="9"/>
  <c r="D10" i="9"/>
  <c r="F10" i="9"/>
  <c r="H10" i="9"/>
  <c r="B14" i="9"/>
  <c r="D14" i="9"/>
  <c r="Q6" i="9"/>
  <c r="C40" i="8"/>
  <c r="D26" i="8"/>
  <c r="D40" i="8"/>
  <c r="F40" i="8"/>
  <c r="C35" i="8"/>
  <c r="D9" i="8"/>
  <c r="D21" i="8"/>
  <c r="D35" i="8"/>
  <c r="F35" i="8"/>
  <c r="C26" i="8"/>
  <c r="F26" i="8"/>
  <c r="C21" i="8"/>
  <c r="F21" i="8"/>
  <c r="C14" i="8"/>
  <c r="F14" i="8"/>
  <c r="C9" i="8"/>
  <c r="F9" i="8"/>
  <c r="D101" i="7"/>
  <c r="F101" i="7"/>
  <c r="G79" i="7"/>
  <c r="G90" i="7"/>
  <c r="G101" i="7"/>
  <c r="I101" i="7"/>
  <c r="D96" i="7"/>
  <c r="F96" i="7"/>
  <c r="G7" i="7"/>
  <c r="G41" i="7"/>
  <c r="G53" i="7"/>
  <c r="G74" i="7"/>
  <c r="G85" i="7"/>
  <c r="G96" i="7"/>
  <c r="I96" i="7"/>
  <c r="D90" i="7"/>
  <c r="F90" i="7"/>
  <c r="I90" i="7"/>
  <c r="D85" i="7"/>
  <c r="F85" i="7"/>
  <c r="I85" i="7"/>
  <c r="D79" i="7"/>
  <c r="F79" i="7"/>
  <c r="I79" i="7"/>
  <c r="D74" i="7"/>
  <c r="F74" i="7"/>
  <c r="I74" i="7"/>
  <c r="I69" i="7"/>
  <c r="G22" i="7"/>
  <c r="G69" i="7"/>
  <c r="B64" i="7"/>
  <c r="I64" i="7"/>
  <c r="D58" i="7"/>
  <c r="F58" i="7"/>
  <c r="I58" i="7"/>
  <c r="D53" i="7"/>
  <c r="F53" i="7"/>
  <c r="I53" i="7"/>
  <c r="D47" i="7"/>
  <c r="F47" i="7"/>
  <c r="I47" i="7"/>
  <c r="D41" i="7"/>
  <c r="F41" i="7"/>
  <c r="I41" i="7"/>
  <c r="D34" i="7"/>
  <c r="F34" i="7"/>
  <c r="I34" i="7"/>
  <c r="D28" i="7"/>
  <c r="F28" i="7"/>
  <c r="G28" i="7"/>
  <c r="I28" i="7"/>
  <c r="I22" i="7"/>
  <c r="B6" i="2"/>
  <c r="G17" i="7"/>
  <c r="I17" i="7"/>
  <c r="D12" i="7"/>
  <c r="F12" i="7"/>
  <c r="I12" i="7"/>
  <c r="D7" i="7"/>
  <c r="F7" i="7"/>
  <c r="I7" i="7"/>
  <c r="C14" i="6"/>
  <c r="C17" i="6"/>
  <c r="C7" i="6"/>
  <c r="C10" i="6"/>
  <c r="C30" i="3"/>
  <c r="C31" i="3"/>
  <c r="C38" i="3"/>
  <c r="C39" i="3"/>
  <c r="C32" i="3"/>
  <c r="C33" i="3"/>
  <c r="C34" i="3"/>
  <c r="C35" i="3"/>
  <c r="C36" i="3"/>
  <c r="C37" i="3"/>
  <c r="C40" i="3"/>
  <c r="F30" i="3"/>
  <c r="C42" i="3"/>
  <c r="C38" i="4"/>
  <c r="C12" i="3"/>
  <c r="F12" i="3"/>
  <c r="D12" i="3"/>
  <c r="G12" i="3"/>
  <c r="H12" i="3"/>
  <c r="E12" i="3"/>
  <c r="I12" i="3"/>
  <c r="J12" i="3"/>
  <c r="K12" i="3"/>
  <c r="L12" i="3"/>
  <c r="C39" i="4"/>
  <c r="D39" i="4"/>
  <c r="C13" i="3"/>
  <c r="F13" i="3"/>
  <c r="D13" i="3"/>
  <c r="G13" i="3"/>
  <c r="H13" i="3"/>
  <c r="E13" i="3"/>
  <c r="I13" i="3"/>
  <c r="J13" i="3"/>
  <c r="K13" i="3"/>
  <c r="L13" i="3"/>
  <c r="C40" i="4"/>
  <c r="D40" i="4"/>
  <c r="C14" i="3"/>
  <c r="F14" i="3"/>
  <c r="D14" i="3"/>
  <c r="G14" i="3"/>
  <c r="H14" i="3"/>
  <c r="E14" i="3"/>
  <c r="I14" i="3"/>
  <c r="J14" i="3"/>
  <c r="K14" i="3"/>
  <c r="L14" i="3"/>
  <c r="C41" i="4"/>
  <c r="D41" i="4"/>
  <c r="C15" i="3"/>
  <c r="F15" i="3"/>
  <c r="D15" i="3"/>
  <c r="G15" i="3"/>
  <c r="H15" i="3"/>
  <c r="E15" i="3"/>
  <c r="I15" i="3"/>
  <c r="J15" i="3"/>
  <c r="K15" i="3"/>
  <c r="L15" i="3"/>
  <c r="C42" i="4"/>
  <c r="D42" i="4"/>
  <c r="C16" i="3"/>
  <c r="F16" i="3"/>
  <c r="D16" i="3"/>
  <c r="G16" i="3"/>
  <c r="H16" i="3"/>
  <c r="E16" i="3"/>
  <c r="I16" i="3"/>
  <c r="J16" i="3"/>
  <c r="K16" i="3"/>
  <c r="L16" i="3"/>
  <c r="C43" i="4"/>
  <c r="D43" i="4"/>
  <c r="C17" i="3"/>
  <c r="F17" i="3"/>
  <c r="D17" i="3"/>
  <c r="G17" i="3"/>
  <c r="H17" i="3"/>
  <c r="E17" i="3"/>
  <c r="I17" i="3"/>
  <c r="J17" i="3"/>
  <c r="K17" i="3"/>
  <c r="L17" i="3"/>
  <c r="C44" i="4"/>
  <c r="D44" i="4"/>
  <c r="C21" i="3"/>
  <c r="F21" i="3"/>
  <c r="D21" i="3"/>
  <c r="G21" i="3"/>
  <c r="H21" i="3"/>
  <c r="J21" i="3"/>
  <c r="E21" i="3"/>
  <c r="I21" i="3"/>
  <c r="K21" i="3"/>
  <c r="L21" i="3"/>
  <c r="C45" i="4"/>
  <c r="D45" i="4"/>
  <c r="C22" i="3"/>
  <c r="F22" i="3"/>
  <c r="D22" i="3"/>
  <c r="G22" i="3"/>
  <c r="H22" i="3"/>
  <c r="J22" i="3"/>
  <c r="E22" i="3"/>
  <c r="I22" i="3"/>
  <c r="K22" i="3"/>
  <c r="L22" i="3"/>
  <c r="C46" i="4"/>
  <c r="D46" i="4"/>
  <c r="C23" i="3"/>
  <c r="F23" i="3"/>
  <c r="D23" i="3"/>
  <c r="G23" i="3"/>
  <c r="H23" i="3"/>
  <c r="J23" i="3"/>
  <c r="E23" i="3"/>
  <c r="I23" i="3"/>
  <c r="K23" i="3"/>
  <c r="L23" i="3"/>
  <c r="C47" i="4"/>
  <c r="D47" i="4"/>
  <c r="C24" i="3"/>
  <c r="F24" i="3"/>
  <c r="D24" i="3"/>
  <c r="G24" i="3"/>
  <c r="H24" i="3"/>
  <c r="J24" i="3"/>
  <c r="E24" i="3"/>
  <c r="I24" i="3"/>
  <c r="K24" i="3"/>
  <c r="L24" i="3"/>
  <c r="C48" i="4"/>
  <c r="D48" i="4"/>
  <c r="A7" i="5"/>
  <c r="A3" i="5"/>
  <c r="A2" i="5"/>
  <c r="C1" i="5"/>
  <c r="B1" i="5"/>
  <c r="F93" i="4"/>
  <c r="E93" i="4"/>
  <c r="D93" i="4"/>
  <c r="C93" i="4"/>
  <c r="F92" i="4"/>
  <c r="E92" i="4"/>
  <c r="D92" i="4"/>
  <c r="C92" i="4"/>
  <c r="F91" i="4"/>
  <c r="E91" i="4"/>
  <c r="D91" i="4"/>
  <c r="C91" i="4"/>
  <c r="F90" i="4"/>
  <c r="E90" i="4"/>
  <c r="D90" i="4"/>
  <c r="C90" i="4"/>
  <c r="F89" i="4"/>
  <c r="E89" i="4"/>
  <c r="D89" i="4"/>
  <c r="C89" i="4"/>
  <c r="F88" i="4"/>
  <c r="E88" i="4"/>
  <c r="D88" i="4"/>
  <c r="C88" i="4"/>
  <c r="F87" i="4"/>
  <c r="E87" i="4"/>
  <c r="D87" i="4"/>
  <c r="C87" i="4"/>
  <c r="F85" i="4"/>
  <c r="E85" i="4"/>
  <c r="D85" i="4"/>
  <c r="C85" i="4"/>
  <c r="F84" i="4"/>
  <c r="E84" i="4"/>
  <c r="D84" i="4"/>
  <c r="C84" i="4"/>
  <c r="F83" i="4"/>
  <c r="E83" i="4"/>
  <c r="D83" i="4"/>
  <c r="C83" i="4"/>
  <c r="F82" i="4"/>
  <c r="E82" i="4"/>
  <c r="D82" i="4"/>
  <c r="C82" i="4"/>
  <c r="F81" i="4"/>
  <c r="E81" i="4"/>
  <c r="D81" i="4"/>
  <c r="C81" i="4"/>
  <c r="F80" i="4"/>
  <c r="E80" i="4"/>
  <c r="D80" i="4"/>
  <c r="C80" i="4"/>
  <c r="F79" i="4"/>
  <c r="E79" i="4"/>
  <c r="D79" i="4"/>
  <c r="C79" i="4"/>
  <c r="B71" i="4"/>
  <c r="C12" i="4"/>
  <c r="C54" i="4"/>
  <c r="C13" i="4"/>
  <c r="C55" i="4"/>
  <c r="D55" i="4"/>
  <c r="C14" i="4"/>
  <c r="C56" i="4"/>
  <c r="D56" i="4"/>
  <c r="C15" i="4"/>
  <c r="C57" i="4"/>
  <c r="D57" i="4"/>
  <c r="C71" i="4"/>
  <c r="C16" i="4"/>
  <c r="C58" i="4"/>
  <c r="D58" i="4"/>
  <c r="D71" i="4"/>
  <c r="E71" i="4"/>
  <c r="C17" i="4"/>
  <c r="C59" i="4"/>
  <c r="D59" i="4"/>
  <c r="C18" i="4"/>
  <c r="C60" i="4"/>
  <c r="D60" i="4"/>
  <c r="C19" i="4"/>
  <c r="C61" i="4"/>
  <c r="D61" i="4"/>
  <c r="C20" i="4"/>
  <c r="C62" i="4"/>
  <c r="D62" i="4"/>
  <c r="C21" i="4"/>
  <c r="C63" i="4"/>
  <c r="D63" i="4"/>
  <c r="C22" i="4"/>
  <c r="C64" i="4"/>
  <c r="D64" i="4"/>
  <c r="D54" i="4"/>
  <c r="D38" i="4"/>
  <c r="C28" i="4"/>
  <c r="B28" i="4"/>
  <c r="D28" i="4"/>
  <c r="D13" i="4"/>
  <c r="D14" i="4"/>
  <c r="D15" i="4"/>
  <c r="D16" i="4"/>
  <c r="D17" i="4"/>
  <c r="D18" i="4"/>
  <c r="D19" i="4"/>
  <c r="D20" i="4"/>
  <c r="D21" i="4"/>
  <c r="D22" i="4"/>
  <c r="D12" i="4"/>
  <c r="D72" i="1"/>
  <c r="E72" i="1"/>
  <c r="D73" i="1"/>
  <c r="E73" i="1"/>
  <c r="D74" i="1"/>
  <c r="E74" i="1"/>
  <c r="E75" i="1"/>
  <c r="C61" i="1"/>
  <c r="C79" i="1"/>
  <c r="C80" i="1"/>
  <c r="C81" i="1"/>
  <c r="C82" i="1"/>
  <c r="C83" i="1"/>
  <c r="C84" i="1"/>
  <c r="C85" i="1"/>
  <c r="C87" i="1"/>
  <c r="D75" i="1"/>
  <c r="C75" i="1"/>
  <c r="C55" i="1"/>
  <c r="D55" i="1"/>
  <c r="E55" i="1"/>
  <c r="D56" i="1"/>
  <c r="E56" i="1"/>
  <c r="E57" i="1"/>
  <c r="C62" i="1"/>
  <c r="C63" i="1"/>
  <c r="C64" i="1"/>
  <c r="C65" i="1"/>
  <c r="C67" i="1"/>
  <c r="D57" i="1"/>
  <c r="C57" i="1"/>
  <c r="D35" i="1"/>
  <c r="E35" i="1"/>
  <c r="D36" i="1"/>
  <c r="E36" i="1"/>
  <c r="D37" i="1"/>
  <c r="E37" i="1"/>
  <c r="D38" i="1"/>
  <c r="E38" i="1"/>
  <c r="E39" i="1"/>
  <c r="C43" i="1"/>
  <c r="C44" i="1"/>
  <c r="C45" i="1"/>
  <c r="C46" i="1"/>
  <c r="C47" i="1"/>
  <c r="C48" i="1"/>
  <c r="C50" i="1"/>
  <c r="D39" i="1"/>
  <c r="C39" i="1"/>
  <c r="C9" i="1"/>
  <c r="D9" i="1"/>
  <c r="E9" i="1"/>
  <c r="D10" i="1"/>
  <c r="E10" i="1"/>
  <c r="D11" i="1"/>
  <c r="E11" i="1"/>
  <c r="D12" i="1"/>
  <c r="E12" i="1"/>
  <c r="D13" i="1"/>
  <c r="E13" i="1"/>
  <c r="C19" i="1"/>
  <c r="C20" i="1"/>
  <c r="C21" i="1"/>
  <c r="C22" i="1"/>
  <c r="C23" i="1"/>
  <c r="C24" i="1"/>
  <c r="C25" i="1"/>
  <c r="C28" i="1"/>
  <c r="D14" i="1"/>
  <c r="C14" i="1"/>
</calcChain>
</file>

<file path=xl/comments1.xml><?xml version="1.0" encoding="utf-8"?>
<comments xmlns="http://schemas.openxmlformats.org/spreadsheetml/2006/main">
  <authors>
    <author/>
  </authors>
  <commentList>
    <comment ref="H6" authorId="0">
      <text>
        <r>
          <rPr>
            <sz val="12"/>
            <color rgb="FF000000"/>
            <rFont val="Calibri"/>
          </rPr>
          <t>Including module, engineering, construction for subsea and customization.</t>
        </r>
      </text>
    </comment>
    <comment ref="H11" authorId="0">
      <text>
        <r>
          <rPr>
            <sz val="12"/>
            <color rgb="FF000000"/>
            <rFont val="Calibri"/>
          </rPr>
          <t>Including module, engineering, construction for subsea and customization.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E8" authorId="0">
      <text>
        <r>
          <rPr>
            <sz val="12"/>
            <color rgb="FF000000"/>
            <rFont val="Calibri"/>
          </rPr>
          <t>Engineering, construction for subsea, customization.</t>
        </r>
      </text>
    </comment>
    <comment ref="E13" authorId="0">
      <text>
        <r>
          <rPr>
            <sz val="12"/>
            <color rgb="FF000000"/>
            <rFont val="Calibri"/>
          </rPr>
          <t>Engineering, construction for subsea, customization.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J5" authorId="0">
      <text>
        <r>
          <rPr>
            <sz val="12"/>
            <color rgb="FF000000"/>
            <rFont val="Calibri"/>
          </rPr>
          <t>Pressure over 35 bar gives length 5 times the vessel diameter</t>
        </r>
      </text>
    </comment>
    <comment ref="O5" authorId="0">
      <text>
        <r>
          <rPr>
            <sz val="12"/>
            <color rgb="FF000000"/>
            <rFont val="Calibri"/>
          </rPr>
          <t>A exponent of 0.34 is used instead of 0.5 (given in Sinnot&amp;Towler) to reach the desired hold-up time.</t>
        </r>
      </text>
    </comment>
    <comment ref="C13" authorId="0">
      <text>
        <r>
          <rPr>
            <sz val="12"/>
            <color rgb="FF000000"/>
            <rFont val="Calibri"/>
          </rPr>
          <t>Cost factor 22 Cr steel.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B10" authorId="0">
      <text>
        <r>
          <rPr>
            <sz val="12"/>
            <color rgb="FF000000"/>
            <rFont val="Calibri"/>
          </rPr>
          <t>The used flowrate is for max. water production (late).</t>
        </r>
      </text>
    </comment>
  </commentList>
</comments>
</file>

<file path=xl/sharedStrings.xml><?xml version="1.0" encoding="utf-8"?>
<sst xmlns="http://schemas.openxmlformats.org/spreadsheetml/2006/main" count="603" uniqueCount="233">
  <si>
    <t>Data</t>
  </si>
  <si>
    <t>Electricity [USD/kWh]</t>
  </si>
  <si>
    <t>Operation [hours/year]</t>
  </si>
  <si>
    <t>CASE 1:</t>
  </si>
  <si>
    <t>Electrical power cost</t>
  </si>
  <si>
    <t>Duty</t>
  </si>
  <si>
    <t>Power [kW]</t>
  </si>
  <si>
    <t>Consumption [kWh]</t>
  </si>
  <si>
    <t>Cost [USD/year]</t>
  </si>
  <si>
    <t>MPP</t>
  </si>
  <si>
    <t>Oil pump</t>
  </si>
  <si>
    <t>Compressor</t>
  </si>
  <si>
    <t>Oil DEH</t>
  </si>
  <si>
    <t>Gas DEH</t>
  </si>
  <si>
    <t>Total power</t>
  </si>
  <si>
    <t>Equipment cost</t>
  </si>
  <si>
    <t>Description</t>
  </si>
  <si>
    <t>Cost [USD]</t>
  </si>
  <si>
    <t>Flowlines and risers</t>
  </si>
  <si>
    <t>Spare MPP</t>
  </si>
  <si>
    <t>Spare oil pump</t>
  </si>
  <si>
    <t>Spare compressor</t>
  </si>
  <si>
    <t>Total equipment cost</t>
  </si>
  <si>
    <t>Total cost</t>
  </si>
  <si>
    <t>CASE 2:</t>
  </si>
  <si>
    <t>FPSO T Oil [C]</t>
  </si>
  <si>
    <t>FPSO P Oil [bar]</t>
  </si>
  <si>
    <t>FPSO T Gas [C]</t>
  </si>
  <si>
    <t>FPSO P Gas [bar]</t>
  </si>
  <si>
    <t>CASE 3:</t>
  </si>
  <si>
    <t>FPSO T [C]</t>
  </si>
  <si>
    <t>FPSO P [bar]</t>
  </si>
  <si>
    <t>DEH</t>
  </si>
  <si>
    <t>Topside separator</t>
  </si>
  <si>
    <t>CASE 4:</t>
  </si>
  <si>
    <t>Spare compressors</t>
  </si>
  <si>
    <t>Factors</t>
  </si>
  <si>
    <t>f_er</t>
  </si>
  <si>
    <t>f_p</t>
  </si>
  <si>
    <t>f_i</t>
  </si>
  <si>
    <t>f_el</t>
  </si>
  <si>
    <t>f_c</t>
  </si>
  <si>
    <t>f_s</t>
  </si>
  <si>
    <t>f_l</t>
  </si>
  <si>
    <t>f_m</t>
  </si>
  <si>
    <t>Value</t>
  </si>
  <si>
    <t>f_inst</t>
  </si>
  <si>
    <t>f_inst_MPP</t>
  </si>
  <si>
    <t>Price data</t>
  </si>
  <si>
    <t>Other data</t>
  </si>
  <si>
    <t>Unit</t>
  </si>
  <si>
    <t>Unit price</t>
  </si>
  <si>
    <t>Electricity</t>
  </si>
  <si>
    <t>USD/kWh</t>
  </si>
  <si>
    <t>Operation hrs/yr</t>
  </si>
  <si>
    <t>Oil</t>
  </si>
  <si>
    <t>USD/bbl</t>
  </si>
  <si>
    <t>Gas</t>
  </si>
  <si>
    <t>USD/MMBtu</t>
  </si>
  <si>
    <t>Consumption/production data and cash flow calculation - Early production</t>
  </si>
  <si>
    <t>Year</t>
  </si>
  <si>
    <t>Oil [bbl]</t>
  </si>
  <si>
    <t>Gas [MMBtu]</t>
  </si>
  <si>
    <t>Electric power [kWh]</t>
  </si>
  <si>
    <t>Income oil [USD]</t>
  </si>
  <si>
    <t>Income gas [USD]</t>
  </si>
  <si>
    <t>Revenue [USD]</t>
  </si>
  <si>
    <t>Power expenditure [USD]</t>
  </si>
  <si>
    <t>Maintenance [USD]</t>
  </si>
  <si>
    <t>OPEX [USD]</t>
  </si>
  <si>
    <t>Total cash flow [USD]</t>
  </si>
  <si>
    <t>Consumption/production data and cash flow calculation - Late production</t>
  </si>
  <si>
    <t>Installed Equipment Cost Data</t>
  </si>
  <si>
    <t>OSBL Costs</t>
  </si>
  <si>
    <t>Equipment</t>
  </si>
  <si>
    <t>Cost USD]</t>
  </si>
  <si>
    <t>Drilling operations</t>
  </si>
  <si>
    <t>Flowlines w/DEH</t>
  </si>
  <si>
    <t>Subsea production system</t>
  </si>
  <si>
    <t>Umbilicals</t>
  </si>
  <si>
    <t>Total OSBL</t>
  </si>
  <si>
    <t>Power cable</t>
  </si>
  <si>
    <t>4-phase separator</t>
  </si>
  <si>
    <t>Topsides separator</t>
  </si>
  <si>
    <t>MPP (2 units)</t>
  </si>
  <si>
    <t>Spare MPP (1 unit)</t>
  </si>
  <si>
    <t>PW pump</t>
  </si>
  <si>
    <t>Spare PW pump</t>
  </si>
  <si>
    <t>Desander</t>
  </si>
  <si>
    <t>Hydrocyclone</t>
  </si>
  <si>
    <t>Total equipment Cost</t>
  </si>
  <si>
    <t>Total CAPEX</t>
  </si>
  <si>
    <t>NPV Calculations</t>
  </si>
  <si>
    <t>Discount rate</t>
  </si>
  <si>
    <t>Tax</t>
  </si>
  <si>
    <t>Discounted cashflow [mill. USD]</t>
  </si>
  <si>
    <t>Accumulative NPV [mill. USD]</t>
  </si>
  <si>
    <t>Return on Investment (RoI)</t>
  </si>
  <si>
    <t>Calculations</t>
  </si>
  <si>
    <t>Total investment [USD]</t>
  </si>
  <si>
    <t>Average after tax CF</t>
  </si>
  <si>
    <t>ROI [%]</t>
  </si>
  <si>
    <t>Internal Rate of Return</t>
  </si>
  <si>
    <t>Internal rate of return</t>
  </si>
  <si>
    <t xml:space="preserve"> Calculations</t>
  </si>
  <si>
    <t>Cash flow diagram (after tax)</t>
  </si>
  <si>
    <t>Discounted after tax cashflow [mill. USD]</t>
  </si>
  <si>
    <t>Pay-Back Time for uneven discounted after-tax cashflows</t>
  </si>
  <si>
    <t>Last period of neg. CF (year)</t>
  </si>
  <si>
    <t>Abs. value of last neg. CF [USD]</t>
  </si>
  <si>
    <t>First positive CF [USD]</t>
  </si>
  <si>
    <t>Sensitivity Analysis</t>
  </si>
  <si>
    <t>Scenario Data</t>
  </si>
  <si>
    <t>Oil price scenarios</t>
  </si>
  <si>
    <t>CAPEX scenarios</t>
  </si>
  <si>
    <t>OPEX scenarios</t>
  </si>
  <si>
    <t>Change in variable [%]</t>
  </si>
  <si>
    <t>Cost in USD/bbl</t>
  </si>
  <si>
    <t>Investment in USD</t>
  </si>
  <si>
    <t>OPEX early in USD/year</t>
  </si>
  <si>
    <t>OPEX late in USD/year</t>
  </si>
  <si>
    <t>NPV</t>
  </si>
  <si>
    <t>20159211445439227571</t>
  </si>
  <si>
    <t>ZFahcOPcILElXgut</t>
  </si>
  <si>
    <t>HzAO</t>
  </si>
  <si>
    <t>aQ==</t>
  </si>
  <si>
    <t>Early production</t>
  </si>
  <si>
    <t>Consumption [kW]</t>
  </si>
  <si>
    <t>Total</t>
  </si>
  <si>
    <t>Late production</t>
  </si>
  <si>
    <t>Cost (data from 2007, carbon steel)</t>
  </si>
  <si>
    <t>Flow [kg/h]</t>
  </si>
  <si>
    <t>Density [kg/m3]</t>
  </si>
  <si>
    <t>Flow [L/s]</t>
  </si>
  <si>
    <t>Basic Cost [USD]</t>
  </si>
  <si>
    <t>fsub</t>
  </si>
  <si>
    <t>Cost 2014 [USD]</t>
  </si>
  <si>
    <t>CEPCI 2007</t>
  </si>
  <si>
    <t>CEPCI 2014</t>
  </si>
  <si>
    <t>fm</t>
  </si>
  <si>
    <t xml:space="preserve">MPP </t>
  </si>
  <si>
    <t>Cost (data from 2015)</t>
  </si>
  <si>
    <t xml:space="preserve">Spare MPP </t>
  </si>
  <si>
    <t>Water injection pump</t>
  </si>
  <si>
    <t>f_ins</t>
  </si>
  <si>
    <t>Spare Water injection pump</t>
  </si>
  <si>
    <t>Spare Oil pump</t>
  </si>
  <si>
    <t>Cost (data from 2014)</t>
  </si>
  <si>
    <t>MPP (two units)</t>
  </si>
  <si>
    <t>Cost 2015 [USD]</t>
  </si>
  <si>
    <t>CASE 1</t>
  </si>
  <si>
    <t>CASE 2</t>
  </si>
  <si>
    <t>CASE 3</t>
  </si>
  <si>
    <t>No compressor in design.</t>
  </si>
  <si>
    <t>Case 4</t>
  </si>
  <si>
    <t>Topsides separator (horizontal):</t>
  </si>
  <si>
    <t>Size:</t>
  </si>
  <si>
    <t>rhol [kg/m3]</t>
  </si>
  <si>
    <t>rhov [kg/m3]</t>
  </si>
  <si>
    <t>mv [kg/s]</t>
  </si>
  <si>
    <t>ml [kg/s]</t>
  </si>
  <si>
    <t>qv [m3/s]</t>
  </si>
  <si>
    <t>ql [m3/s]</t>
  </si>
  <si>
    <t>us [m/s]</t>
  </si>
  <si>
    <t>Dv [m]</t>
  </si>
  <si>
    <t>Lv [m]</t>
  </si>
  <si>
    <t>Al</t>
  </si>
  <si>
    <t>Vholdup</t>
  </si>
  <si>
    <t>tholdup_old</t>
  </si>
  <si>
    <t>tholdup_desired</t>
  </si>
  <si>
    <t>Dvnew</t>
  </si>
  <si>
    <t>Lvnew</t>
  </si>
  <si>
    <t>tholdup_new</t>
  </si>
  <si>
    <t>Shell mass</t>
  </si>
  <si>
    <t xml:space="preserve">Lv [m] </t>
  </si>
  <si>
    <t>S [Pa]</t>
  </si>
  <si>
    <t>p [Pa]</t>
  </si>
  <si>
    <t>tw [m]</t>
  </si>
  <si>
    <t>rho [kg/m3]</t>
  </si>
  <si>
    <t>mshell [kg]</t>
  </si>
  <si>
    <t>Basic cost [USD]</t>
  </si>
  <si>
    <t>4-Phase separator (horizontal):</t>
  </si>
  <si>
    <t>Size, max oil:</t>
  </si>
  <si>
    <t>Size, max water:</t>
  </si>
  <si>
    <t>Max oil and max water give approximately the same separator size. Choosing the largest.</t>
  </si>
  <si>
    <t>Basic cost low [USD]</t>
  </si>
  <si>
    <t>Desander (horizontal):</t>
  </si>
  <si>
    <t>Size, max sand holdup:</t>
  </si>
  <si>
    <t>rho [kg/m^3]</t>
  </si>
  <si>
    <t>Sand per day [kg]</t>
  </si>
  <si>
    <t>Holdup [days]</t>
  </si>
  <si>
    <t>Max in desander</t>
  </si>
  <si>
    <t>Volume [m^3]</t>
  </si>
  <si>
    <t>Room factor</t>
  </si>
  <si>
    <t>Tot. volume [m^3]</t>
  </si>
  <si>
    <t>Diameter [m]</t>
  </si>
  <si>
    <t>Length [m]</t>
  </si>
  <si>
    <t>mshell[kg]</t>
  </si>
  <si>
    <t>CASE 1&amp;2</t>
  </si>
  <si>
    <t>Data from 2010.</t>
  </si>
  <si>
    <t>Flowline</t>
  </si>
  <si>
    <t>Inner diameter [in.]</t>
  </si>
  <si>
    <t>Basic cost [USD/m]</t>
  </si>
  <si>
    <t>Size factor</t>
  </si>
  <si>
    <t>DEH cost [USD/m]</t>
  </si>
  <si>
    <t>Coating cost [USD/m]</t>
  </si>
  <si>
    <t>Flowline cost</t>
  </si>
  <si>
    <t>CEPCI 2010</t>
  </si>
  <si>
    <t>Oil transport, rigid</t>
  </si>
  <si>
    <t>Oil riser, flexible</t>
  </si>
  <si>
    <t>Gas transport, rigid</t>
  </si>
  <si>
    <t>Gas riser, flexible</t>
  </si>
  <si>
    <t>Total flowline cost 2014:</t>
  </si>
  <si>
    <t>CASE 3&amp;4</t>
  </si>
  <si>
    <t>Data from 2010</t>
  </si>
  <si>
    <t>Diameter [in.]</t>
  </si>
  <si>
    <t>Transport, rigid</t>
  </si>
  <si>
    <t>Riser, flexible</t>
  </si>
  <si>
    <t>Cost (data from 2006)</t>
  </si>
  <si>
    <t>L[m]</t>
  </si>
  <si>
    <t>Cost/length [USD/m]</t>
  </si>
  <si>
    <t>Total cost 2014 [USD]</t>
  </si>
  <si>
    <t>CEPCI 2006</t>
  </si>
  <si>
    <t>CEPCI 2008</t>
  </si>
  <si>
    <t>Umbilical</t>
  </si>
  <si>
    <t>Cost (data from 2008)</t>
  </si>
  <si>
    <t>Reference case</t>
  </si>
  <si>
    <t>ql [L/s]</t>
  </si>
  <si>
    <t>CEPCI ref</t>
  </si>
  <si>
    <t xml:space="preserve">n </t>
  </si>
  <si>
    <t>Cost (2014)</t>
  </si>
  <si>
    <t xml:space="preserve"> </t>
  </si>
  <si>
    <t>Payback time [years]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</si>
</sst>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rgb="FF000000"/>
      <name val="Calibri"/>
    </font>
    <font>
      <sz val="12"/>
      <name val="Calibri"/>
    </font>
    <font>
      <b/>
      <sz val="12"/>
      <color rgb="FF000000"/>
      <name val="Calibri"/>
    </font>
    <font>
      <sz val="12"/>
      <color rgb="FFFF0000"/>
      <name val="Calibri"/>
    </font>
    <font>
      <b/>
      <sz val="12"/>
      <name val="Calibri"/>
    </font>
    <font>
      <b/>
      <i/>
      <sz val="12"/>
      <name val="Calibri"/>
    </font>
    <font>
      <b/>
      <sz val="12"/>
      <color rgb="FF000000"/>
      <name val="Calibri"/>
    </font>
    <font>
      <b/>
      <sz val="12"/>
      <color rgb="FF4A86E8"/>
      <name val="Calibri"/>
    </font>
    <font>
      <sz val="12"/>
      <color rgb="FF0000FF"/>
      <name val="Calibri"/>
    </font>
    <font>
      <sz val="12"/>
      <color rgb="FFFF9900"/>
      <name val="Calibri"/>
    </font>
  </fonts>
  <fills count="21">
    <fill>
      <patternFill patternType="none"/>
    </fill>
    <fill>
      <patternFill patternType="gray125"/>
    </fill>
    <fill>
      <patternFill patternType="solid">
        <fgColor rgb="FFF9CB9C"/>
        <bgColor rgb="FFF9CB9C"/>
      </patternFill>
    </fill>
    <fill>
      <patternFill patternType="solid">
        <fgColor rgb="FFFCE5CD"/>
        <bgColor rgb="FFFCE5CD"/>
      </patternFill>
    </fill>
    <fill>
      <patternFill patternType="solid">
        <fgColor rgb="FF9FC5E8"/>
        <bgColor rgb="FF9FC5E8"/>
      </patternFill>
    </fill>
    <fill>
      <patternFill patternType="solid">
        <fgColor rgb="FFB6D7A8"/>
        <bgColor rgb="FFB6D7A8"/>
      </patternFill>
    </fill>
    <fill>
      <patternFill patternType="solid">
        <fgColor rgb="FFCFE2F3"/>
        <bgColor rgb="FFCFE2F3"/>
      </patternFill>
    </fill>
    <fill>
      <patternFill patternType="solid">
        <fgColor rgb="FFD9EAD3"/>
        <bgColor rgb="FFD9EAD3"/>
      </patternFill>
    </fill>
    <fill>
      <patternFill patternType="solid">
        <fgColor rgb="FFFFE599"/>
        <bgColor rgb="FFFFE599"/>
      </patternFill>
    </fill>
    <fill>
      <patternFill patternType="solid">
        <fgColor rgb="FFFFF2CC"/>
        <bgColor rgb="FFFFF2CC"/>
      </patternFill>
    </fill>
    <fill>
      <patternFill patternType="solid">
        <fgColor rgb="FFFFD966"/>
        <bgColor rgb="FFFFD966"/>
      </patternFill>
    </fill>
    <fill>
      <patternFill patternType="solid">
        <fgColor rgb="FFEA9999"/>
        <bgColor rgb="FFEA9999"/>
      </patternFill>
    </fill>
    <fill>
      <patternFill patternType="solid">
        <fgColor rgb="FFF4CCCC"/>
        <bgColor rgb="FFF4CCCC"/>
      </patternFill>
    </fill>
    <fill>
      <patternFill patternType="solid">
        <fgColor rgb="FF4A86E8"/>
        <bgColor rgb="FF4A86E8"/>
      </patternFill>
    </fill>
    <fill>
      <patternFill patternType="solid">
        <fgColor rgb="FFF6B26B"/>
        <bgColor rgb="FFF6B26B"/>
      </patternFill>
    </fill>
    <fill>
      <patternFill patternType="solid">
        <fgColor rgb="FFD9D2E9"/>
        <bgColor rgb="FFD9D2E9"/>
      </patternFill>
    </fill>
    <fill>
      <patternFill patternType="solid">
        <fgColor rgb="FFB4A7D6"/>
        <bgColor rgb="FFB4A7D6"/>
      </patternFill>
    </fill>
    <fill>
      <patternFill patternType="solid">
        <fgColor rgb="FFC9DAF8"/>
        <bgColor rgb="FFC9DAF8"/>
      </patternFill>
    </fill>
    <fill>
      <patternFill patternType="solid">
        <fgColor theme="2"/>
        <bgColor rgb="FFD9D2E9"/>
      </patternFill>
    </fill>
    <fill>
      <patternFill patternType="solid">
        <fgColor theme="4" tint="0.79998168889431442"/>
        <bgColor rgb="FF9FC5E8"/>
      </patternFill>
    </fill>
    <fill>
      <patternFill patternType="solid">
        <fgColor theme="4" tint="0.59999389629810485"/>
        <bgColor rgb="FF9FC5E8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0">
    <xf numFmtId="0" fontId="0" fillId="0" borderId="0" xfId="0" applyFont="1" applyAlignment="1"/>
    <xf numFmtId="0" fontId="1" fillId="2" borderId="0" xfId="0" applyFont="1" applyFill="1" applyAlignment="1"/>
    <xf numFmtId="0" fontId="1" fillId="2" borderId="0" xfId="0" applyFont="1" applyFill="1"/>
    <xf numFmtId="0" fontId="0" fillId="3" borderId="0" xfId="0" applyFont="1" applyFill="1" applyAlignment="1"/>
    <xf numFmtId="0" fontId="1" fillId="3" borderId="0" xfId="0" applyFont="1" applyFill="1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0" fillId="4" borderId="0" xfId="0" applyFont="1" applyFill="1" applyBorder="1" applyAlignment="1"/>
    <xf numFmtId="0" fontId="1" fillId="4" borderId="0" xfId="0" applyFont="1" applyFill="1" applyAlignment="1"/>
    <xf numFmtId="0" fontId="0" fillId="4" borderId="0" xfId="0" applyFont="1" applyFill="1" applyBorder="1" applyAlignment="1"/>
    <xf numFmtId="0" fontId="1" fillId="5" borderId="0" xfId="0" applyFont="1" applyFill="1" applyAlignment="1"/>
    <xf numFmtId="0" fontId="0" fillId="6" borderId="0" xfId="0" applyFont="1" applyFill="1" applyAlignment="1"/>
    <xf numFmtId="4" fontId="1" fillId="6" borderId="0" xfId="0" applyNumberFormat="1" applyFont="1" applyFill="1" applyAlignment="1"/>
    <xf numFmtId="4" fontId="1" fillId="6" borderId="0" xfId="0" applyNumberFormat="1" applyFont="1" applyFill="1"/>
    <xf numFmtId="0" fontId="1" fillId="7" borderId="0" xfId="0" applyFont="1" applyFill="1" applyAlignment="1"/>
    <xf numFmtId="0" fontId="1" fillId="6" borderId="0" xfId="0" applyFont="1" applyFill="1" applyAlignment="1"/>
    <xf numFmtId="0" fontId="4" fillId="6" borderId="0" xfId="0" applyFont="1" applyFill="1" applyAlignment="1"/>
    <xf numFmtId="4" fontId="4" fillId="6" borderId="0" xfId="0" applyNumberFormat="1" applyFont="1" applyFill="1"/>
    <xf numFmtId="4" fontId="1" fillId="0" borderId="0" xfId="0" applyNumberFormat="1" applyFont="1"/>
    <xf numFmtId="0" fontId="4" fillId="8" borderId="0" xfId="0" applyFont="1" applyFill="1" applyAlignment="1"/>
    <xf numFmtId="4" fontId="4" fillId="9" borderId="0" xfId="0" applyNumberFormat="1" applyFont="1" applyFill="1"/>
    <xf numFmtId="0" fontId="1" fillId="6" borderId="0" xfId="0" applyFont="1" applyFill="1"/>
    <xf numFmtId="0" fontId="5" fillId="4" borderId="0" xfId="0" applyFont="1" applyFill="1" applyAlignment="1"/>
    <xf numFmtId="0" fontId="5" fillId="0" borderId="0" xfId="0" applyFont="1" applyAlignment="1"/>
    <xf numFmtId="0" fontId="5" fillId="0" borderId="0" xfId="0" applyFont="1"/>
    <xf numFmtId="0" fontId="5" fillId="10" borderId="0" xfId="0" applyFont="1" applyFill="1" applyAlignment="1"/>
    <xf numFmtId="0" fontId="1" fillId="9" borderId="0" xfId="0" applyFont="1" applyFill="1"/>
    <xf numFmtId="0" fontId="6" fillId="0" borderId="0" xfId="0" applyFont="1" applyAlignment="1"/>
    <xf numFmtId="0" fontId="4" fillId="0" borderId="0" xfId="0" applyFont="1" applyAlignment="1"/>
    <xf numFmtId="0" fontId="0" fillId="4" borderId="0" xfId="0" applyFont="1" applyFill="1" applyBorder="1"/>
    <xf numFmtId="0" fontId="0" fillId="4" borderId="0" xfId="0" applyFont="1" applyFill="1" applyBorder="1"/>
    <xf numFmtId="0" fontId="0" fillId="6" borderId="0" xfId="0" applyFont="1" applyFill="1"/>
    <xf numFmtId="0" fontId="0" fillId="6" borderId="0" xfId="0" applyFont="1" applyFill="1" applyAlignment="1"/>
    <xf numFmtId="0" fontId="0" fillId="4" borderId="0" xfId="0" applyFont="1" applyFill="1" applyAlignment="1"/>
    <xf numFmtId="0" fontId="1" fillId="11" borderId="0" xfId="0" applyFont="1" applyFill="1" applyAlignment="1"/>
    <xf numFmtId="0" fontId="1" fillId="7" borderId="0" xfId="0" applyFont="1" applyFill="1"/>
    <xf numFmtId="0" fontId="1" fillId="12" borderId="0" xfId="0" applyFont="1" applyFill="1"/>
    <xf numFmtId="4" fontId="1" fillId="12" borderId="0" xfId="0" applyNumberFormat="1" applyFont="1" applyFill="1"/>
    <xf numFmtId="4" fontId="1" fillId="12" borderId="0" xfId="0" applyNumberFormat="1" applyFont="1" applyFill="1" applyAlignment="1"/>
    <xf numFmtId="0" fontId="1" fillId="12" borderId="0" xfId="0" applyFont="1" applyFill="1" applyAlignment="1"/>
    <xf numFmtId="0" fontId="4" fillId="6" borderId="0" xfId="0" applyFont="1" applyFill="1"/>
    <xf numFmtId="0" fontId="1" fillId="6" borderId="0" xfId="0" applyFont="1" applyFill="1"/>
    <xf numFmtId="0" fontId="1" fillId="13" borderId="0" xfId="0" applyFont="1" applyFill="1" applyAlignment="1"/>
    <xf numFmtId="0" fontId="4" fillId="13" borderId="0" xfId="0" applyFont="1" applyFill="1"/>
    <xf numFmtId="4" fontId="1" fillId="13" borderId="0" xfId="0" applyNumberFormat="1" applyFont="1" applyFill="1"/>
    <xf numFmtId="0" fontId="1" fillId="14" borderId="0" xfId="0" applyFont="1" applyFill="1" applyAlignment="1"/>
    <xf numFmtId="4" fontId="6" fillId="14" borderId="0" xfId="0" applyNumberFormat="1" applyFont="1" applyFill="1"/>
    <xf numFmtId="0" fontId="1" fillId="13" borderId="0" xfId="0" applyFont="1" applyFill="1"/>
    <xf numFmtId="0" fontId="1" fillId="15" borderId="0" xfId="0" applyFont="1" applyFill="1" applyAlignment="1"/>
    <xf numFmtId="0" fontId="1" fillId="4" borderId="0" xfId="0" applyFont="1" applyFill="1"/>
    <xf numFmtId="0" fontId="1" fillId="0" borderId="0" xfId="0" applyFont="1" applyAlignment="1"/>
    <xf numFmtId="0" fontId="4" fillId="13" borderId="0" xfId="0" applyFont="1" applyFill="1" applyAlignment="1"/>
    <xf numFmtId="0" fontId="4" fillId="13" borderId="0" xfId="0" applyFont="1" applyFill="1"/>
    <xf numFmtId="0" fontId="1" fillId="16" borderId="0" xfId="0" applyFont="1" applyFill="1" applyAlignment="1"/>
    <xf numFmtId="0" fontId="7" fillId="0" borderId="0" xfId="0" applyFont="1" applyAlignment="1"/>
    <xf numFmtId="0" fontId="7" fillId="0" borderId="0" xfId="0" applyFont="1"/>
    <xf numFmtId="0" fontId="3" fillId="0" borderId="0" xfId="0" applyFont="1"/>
    <xf numFmtId="0" fontId="4" fillId="0" borderId="0" xfId="0" applyFont="1"/>
    <xf numFmtId="0" fontId="8" fillId="0" borderId="0" xfId="0" applyFont="1" applyAlignment="1"/>
    <xf numFmtId="0" fontId="8" fillId="0" borderId="0" xfId="0" applyFont="1"/>
    <xf numFmtId="0" fontId="9" fillId="0" borderId="0" xfId="0" applyFont="1"/>
    <xf numFmtId="0" fontId="1" fillId="17" borderId="0" xfId="0" applyFont="1" applyFill="1" applyAlignment="1"/>
    <xf numFmtId="4" fontId="1" fillId="17" borderId="0" xfId="0" applyNumberFormat="1" applyFont="1" applyFill="1"/>
    <xf numFmtId="4" fontId="1" fillId="4" borderId="0" xfId="0" applyNumberFormat="1" applyFont="1" applyFill="1" applyAlignment="1"/>
    <xf numFmtId="0" fontId="4" fillId="13" borderId="0" xfId="0" applyNumberFormat="1" applyFont="1" applyFill="1"/>
    <xf numFmtId="0" fontId="0" fillId="0" borderId="0" xfId="0" applyFont="1" applyFill="1" applyBorder="1" applyAlignment="1"/>
    <xf numFmtId="0" fontId="0" fillId="0" borderId="0" xfId="0" applyFont="1" applyFill="1" applyBorder="1"/>
    <xf numFmtId="0" fontId="0" fillId="0" borderId="0" xfId="0" applyFont="1" applyFill="1" applyAlignment="1"/>
    <xf numFmtId="0" fontId="1" fillId="0" borderId="0" xfId="0" applyFont="1" applyFill="1" applyAlignment="1"/>
    <xf numFmtId="0" fontId="1" fillId="0" borderId="0" xfId="0" applyFont="1" applyFill="1"/>
    <xf numFmtId="0" fontId="1" fillId="0" borderId="0" xfId="0" applyFont="1" applyFill="1" applyBorder="1"/>
    <xf numFmtId="0" fontId="1" fillId="18" borderId="0" xfId="0" applyFont="1" applyFill="1" applyAlignment="1"/>
    <xf numFmtId="0" fontId="1" fillId="18" borderId="0" xfId="0" applyFont="1" applyFill="1"/>
    <xf numFmtId="0" fontId="1" fillId="0" borderId="0" xfId="0" applyFont="1" applyFill="1" applyBorder="1" applyAlignment="1"/>
    <xf numFmtId="0" fontId="4" fillId="0" borderId="0" xfId="0" applyFont="1" applyFill="1" applyAlignment="1"/>
    <xf numFmtId="0" fontId="7" fillId="0" borderId="0" xfId="0" applyFont="1" applyFill="1" applyAlignment="1"/>
    <xf numFmtId="0" fontId="1" fillId="19" borderId="0" xfId="0" applyFont="1" applyFill="1" applyAlignment="1"/>
    <xf numFmtId="0" fontId="4" fillId="20" borderId="0" xfId="0" applyFont="1" applyFill="1" applyAlignment="1"/>
    <xf numFmtId="0" fontId="5" fillId="19" borderId="0" xfId="0" applyFont="1" applyFill="1" applyAlignment="1"/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A282FF"/>
      <color rgb="FF2E749C"/>
      <color rgb="FF946DFF"/>
      <color rgb="FF9437FF"/>
      <color rgb="FFA978B1"/>
      <color rgb="FFFF2F92"/>
      <color rgb="FFFF40FF"/>
      <color rgb="FFDB9DE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view3D>
      <c:rotX val="30"/>
      <c:rotY val="191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0"/>
          <c:y val="0.0"/>
          <c:w val="0.780313679144537"/>
          <c:h val="0.921921921921922"/>
        </c:manualLayout>
      </c:layout>
      <c:pie3DChart>
        <c:varyColors val="1"/>
        <c:dLbls>
          <c:dLblPos val="inEnd"/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1096693561231"/>
          <c:y val="0.155611233291931"/>
          <c:w val="0.17895162900833"/>
          <c:h val="0.714012329500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nb-NO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6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88900</xdr:colOff>
      <xdr:row>34</xdr:row>
      <xdr:rowOff>127000</xdr:rowOff>
    </xdr:from>
    <xdr:to>
      <xdr:col>8</xdr:col>
      <xdr:colOff>404091</xdr:colOff>
      <xdr:row>53</xdr:row>
      <xdr:rowOff>57728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482600</xdr:colOff>
      <xdr:row>66</xdr:row>
      <xdr:rowOff>127000</xdr:rowOff>
    </xdr:to>
    <xdr:sp macro="" textlink="">
      <xdr:nvSpPr>
        <xdr:cNvPr id="1026" name="Rectangle 2" hidden="1"/>
        <xdr:cNvSpPr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nb-NO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495300</xdr:colOff>
      <xdr:row>66</xdr:row>
      <xdr:rowOff>127000</xdr:rowOff>
    </xdr:to>
    <xdr:sp macro="" textlink="">
      <xdr:nvSpPr>
        <xdr:cNvPr id="2050" name="Rectangle 2" hidden="1"/>
        <xdr:cNvSpPr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nb-NO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787400</xdr:colOff>
      <xdr:row>66</xdr:row>
      <xdr:rowOff>127000</xdr:rowOff>
    </xdr:to>
    <xdr:sp macro="" textlink="">
      <xdr:nvSpPr>
        <xdr:cNvPr id="3075" name="Rectangle 3" hidden="1"/>
        <xdr:cNvSpPr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nb-NO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355600</xdr:colOff>
      <xdr:row>66</xdr:row>
      <xdr:rowOff>127000</xdr:rowOff>
    </xdr:to>
    <xdr:sp macro="" textlink="">
      <xdr:nvSpPr>
        <xdr:cNvPr id="4097" name="Rectangle 1" hidden="1"/>
        <xdr:cNvSpPr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nb-NO"/>
        </a:p>
      </xdr:txBody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Relationship Id="rId2" Type="http://schemas.openxmlformats.org/officeDocument/2006/relationships/vmlDrawing" Target="../drawings/vmlDrawing4.vml"/><Relationship Id="rId3" Type="http://schemas.openxmlformats.org/officeDocument/2006/relationships/comments" Target="../comments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vmlDrawing" Target="../drawings/vmlDrawing2.vml"/><Relationship Id="rId3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vmlDrawing" Target="../drawings/vmlDrawing3.vml"/><Relationship Id="rId3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000"/>
  <sheetViews>
    <sheetView topLeftCell="A4" workbookViewId="0">
      <selection activeCell="C65" sqref="C65"/>
    </sheetView>
  </sheetViews>
  <sheetFormatPr baseColWidth="10" defaultColWidth="13.5" defaultRowHeight="15" customHeight="1" x14ac:dyDescent="0.2"/>
  <cols>
    <col min="1" max="1" width="10.5" customWidth="1"/>
    <col min="2" max="2" width="22" customWidth="1"/>
    <col min="3" max="3" width="26.33203125" customWidth="1"/>
    <col min="4" max="4" width="17.83203125" customWidth="1"/>
    <col min="5" max="5" width="20.6640625" customWidth="1"/>
    <col min="6" max="6" width="10.5" customWidth="1"/>
    <col min="7" max="7" width="13.1640625" customWidth="1"/>
    <col min="8" max="8" width="14.1640625" customWidth="1"/>
    <col min="9" max="9" width="12.5" customWidth="1"/>
    <col min="10" max="10" width="15.1640625" customWidth="1"/>
    <col min="11" max="26" width="10.5" customWidth="1"/>
  </cols>
  <sheetData>
    <row r="1" spans="2:10" ht="15.75" customHeight="1" x14ac:dyDescent="0.2">
      <c r="B1" s="1" t="s">
        <v>0</v>
      </c>
      <c r="C1" s="2"/>
    </row>
    <row r="2" spans="2:10" ht="15.75" customHeight="1" x14ac:dyDescent="0.2">
      <c r="B2" s="3" t="s">
        <v>1</v>
      </c>
      <c r="C2" s="4">
        <v>0.09</v>
      </c>
    </row>
    <row r="3" spans="2:10" ht="15.75" customHeight="1" x14ac:dyDescent="0.2">
      <c r="B3" s="4" t="s">
        <v>2</v>
      </c>
      <c r="C3" s="4">
        <v>8000</v>
      </c>
    </row>
    <row r="4" spans="2:10" ht="15.75" customHeight="1" x14ac:dyDescent="0.2"/>
    <row r="5" spans="2:10" ht="15.75" customHeight="1" x14ac:dyDescent="0.2">
      <c r="E5" s="66"/>
      <c r="G5" s="5"/>
    </row>
    <row r="6" spans="2:10" ht="15.75" customHeight="1" x14ac:dyDescent="0.2">
      <c r="B6" s="6" t="s">
        <v>3</v>
      </c>
      <c r="E6" s="71"/>
      <c r="G6" s="5"/>
    </row>
    <row r="7" spans="2:10" ht="15.75" customHeight="1" x14ac:dyDescent="0.2">
      <c r="B7" s="7" t="s">
        <v>4</v>
      </c>
      <c r="E7" s="71"/>
    </row>
    <row r="8" spans="2:10" ht="15.75" customHeight="1" x14ac:dyDescent="0.2">
      <c r="B8" s="8" t="s">
        <v>5</v>
      </c>
      <c r="C8" s="8" t="s">
        <v>6</v>
      </c>
      <c r="D8" s="9" t="s">
        <v>7</v>
      </c>
      <c r="E8" s="10" t="s">
        <v>8</v>
      </c>
      <c r="G8" s="11" t="s">
        <v>25</v>
      </c>
      <c r="H8" s="11" t="s">
        <v>26</v>
      </c>
      <c r="I8" s="11" t="s">
        <v>27</v>
      </c>
      <c r="J8" s="11" t="s">
        <v>28</v>
      </c>
    </row>
    <row r="9" spans="2:10" ht="15.75" customHeight="1" x14ac:dyDescent="0.2">
      <c r="B9" s="12" t="s">
        <v>9</v>
      </c>
      <c r="C9" s="13">
        <f>521.2+359</f>
        <v>880.2</v>
      </c>
      <c r="D9" s="14">
        <f t="shared" ref="D9:D13" si="0">C9*C$3</f>
        <v>7041600</v>
      </c>
      <c r="E9" s="14">
        <f t="shared" ref="E9:E13" si="1">D9*C$2</f>
        <v>633744</v>
      </c>
      <c r="G9" s="15">
        <v>33.200000000000003</v>
      </c>
      <c r="H9" s="15">
        <v>71</v>
      </c>
      <c r="I9" s="15">
        <v>27.5</v>
      </c>
      <c r="J9" s="15">
        <v>98.9</v>
      </c>
    </row>
    <row r="10" spans="2:10" ht="15.75" customHeight="1" x14ac:dyDescent="0.2">
      <c r="B10" s="12" t="s">
        <v>10</v>
      </c>
      <c r="C10" s="13">
        <v>2344</v>
      </c>
      <c r="D10" s="14">
        <f t="shared" si="0"/>
        <v>18752000</v>
      </c>
      <c r="E10" s="14">
        <f t="shared" si="1"/>
        <v>1687680</v>
      </c>
    </row>
    <row r="11" spans="2:10" ht="15.75" customHeight="1" x14ac:dyDescent="0.2">
      <c r="B11" s="16" t="s">
        <v>11</v>
      </c>
      <c r="C11" s="13">
        <v>280.8</v>
      </c>
      <c r="D11" s="14">
        <f t="shared" si="0"/>
        <v>2246400</v>
      </c>
      <c r="E11" s="14">
        <f t="shared" si="1"/>
        <v>202176</v>
      </c>
    </row>
    <row r="12" spans="2:10" ht="15.75" customHeight="1" x14ac:dyDescent="0.2">
      <c r="B12" s="16" t="s">
        <v>12</v>
      </c>
      <c r="C12" s="13">
        <v>1067</v>
      </c>
      <c r="D12" s="14">
        <f t="shared" si="0"/>
        <v>8536000</v>
      </c>
      <c r="E12" s="14">
        <f t="shared" si="1"/>
        <v>768240</v>
      </c>
    </row>
    <row r="13" spans="2:10" ht="15.75" customHeight="1" x14ac:dyDescent="0.2">
      <c r="B13" s="16" t="s">
        <v>13</v>
      </c>
      <c r="C13" s="13">
        <v>165.5</v>
      </c>
      <c r="D13" s="14">
        <f t="shared" si="0"/>
        <v>1324000</v>
      </c>
      <c r="E13" s="14">
        <f t="shared" si="1"/>
        <v>119160</v>
      </c>
    </row>
    <row r="14" spans="2:10" ht="15.75" customHeight="1" x14ac:dyDescent="0.2">
      <c r="B14" s="17" t="s">
        <v>14</v>
      </c>
      <c r="C14" s="14">
        <f t="shared" ref="C14:E14" si="2">SUM(C9:C13)</f>
        <v>4737.5</v>
      </c>
      <c r="D14" s="14">
        <f t="shared" si="2"/>
        <v>37900000</v>
      </c>
      <c r="E14" s="18">
        <f>SUM(E9:E13)</f>
        <v>3411000</v>
      </c>
    </row>
    <row r="15" spans="2:10" ht="15.75" customHeight="1" x14ac:dyDescent="0.2"/>
    <row r="16" spans="2:10" ht="15.75" customHeight="1" x14ac:dyDescent="0.2"/>
    <row r="17" spans="2:5" ht="15.75" customHeight="1" x14ac:dyDescent="0.2">
      <c r="B17" s="7" t="s">
        <v>15</v>
      </c>
    </row>
    <row r="18" spans="2:5" ht="15.75" customHeight="1" x14ac:dyDescent="0.2">
      <c r="B18" s="9" t="s">
        <v>16</v>
      </c>
      <c r="C18" s="9" t="s">
        <v>17</v>
      </c>
    </row>
    <row r="19" spans="2:5" ht="15.75" customHeight="1" x14ac:dyDescent="0.2">
      <c r="B19" s="16" t="s">
        <v>18</v>
      </c>
      <c r="C19" s="14">
        <f>'Flowlines and risers'!H9</f>
        <v>236838194.55337688</v>
      </c>
    </row>
    <row r="20" spans="2:5" ht="15.75" customHeight="1" x14ac:dyDescent="0.2">
      <c r="B20" s="16" t="s">
        <v>9</v>
      </c>
      <c r="C20" s="14">
        <f>Pumps!I17</f>
        <v>16000000</v>
      </c>
    </row>
    <row r="21" spans="2:5" ht="15.75" customHeight="1" x14ac:dyDescent="0.2">
      <c r="B21" s="16" t="s">
        <v>10</v>
      </c>
      <c r="C21" s="14">
        <f>Pumps!I7</f>
        <v>2808585.5038204603</v>
      </c>
    </row>
    <row r="22" spans="2:5" ht="15.75" customHeight="1" x14ac:dyDescent="0.2">
      <c r="B22" s="16" t="s">
        <v>11</v>
      </c>
      <c r="C22" s="14">
        <f>Compressors!F9</f>
        <v>4572678.2275029607</v>
      </c>
    </row>
    <row r="23" spans="2:5" ht="15.75" customHeight="1" x14ac:dyDescent="0.2">
      <c r="B23" s="16" t="s">
        <v>19</v>
      </c>
      <c r="C23" s="14">
        <f>Pumps!I22</f>
        <v>10000000</v>
      </c>
    </row>
    <row r="24" spans="2:5" ht="15.75" customHeight="1" x14ac:dyDescent="0.2">
      <c r="B24" s="16" t="s">
        <v>20</v>
      </c>
      <c r="C24" s="14">
        <f>Pumps!I12</f>
        <v>1041205.6525570148</v>
      </c>
    </row>
    <row r="25" spans="2:5" ht="15.75" customHeight="1" x14ac:dyDescent="0.2">
      <c r="B25" s="16" t="s">
        <v>21</v>
      </c>
      <c r="C25" s="14">
        <f>Compressors!F14</f>
        <v>1695194.3999298052</v>
      </c>
    </row>
    <row r="26" spans="2:5" ht="15.75" customHeight="1" x14ac:dyDescent="0.2">
      <c r="B26" s="17" t="s">
        <v>22</v>
      </c>
      <c r="C26" s="18">
        <f>SUM(C19:C25)</f>
        <v>272955858.33718711</v>
      </c>
    </row>
    <row r="27" spans="2:5" ht="15.75" customHeight="1" x14ac:dyDescent="0.2">
      <c r="C27" s="19"/>
    </row>
    <row r="28" spans="2:5" ht="15.75" customHeight="1" x14ac:dyDescent="0.2">
      <c r="B28" s="20" t="s">
        <v>23</v>
      </c>
      <c r="C28" s="21">
        <f>E14+C26</f>
        <v>276366858.33718711</v>
      </c>
    </row>
    <row r="29" spans="2:5" ht="15.75" customHeight="1" x14ac:dyDescent="0.2"/>
    <row r="30" spans="2:5" ht="15.75" customHeight="1" x14ac:dyDescent="0.2"/>
    <row r="31" spans="2:5" ht="15.75" customHeight="1" x14ac:dyDescent="0.2">
      <c r="E31" s="66"/>
    </row>
    <row r="32" spans="2:5" ht="15.75" customHeight="1" x14ac:dyDescent="0.2">
      <c r="B32" s="6" t="s">
        <v>24</v>
      </c>
      <c r="E32" s="71"/>
    </row>
    <row r="33" spans="2:10" ht="15.75" customHeight="1" x14ac:dyDescent="0.2">
      <c r="B33" s="7" t="s">
        <v>4</v>
      </c>
      <c r="E33" s="71"/>
    </row>
    <row r="34" spans="2:10" ht="15.75" customHeight="1" x14ac:dyDescent="0.2">
      <c r="B34" s="8" t="s">
        <v>5</v>
      </c>
      <c r="C34" s="8" t="s">
        <v>6</v>
      </c>
      <c r="D34" s="9" t="s">
        <v>7</v>
      </c>
      <c r="E34" s="10" t="s">
        <v>8</v>
      </c>
      <c r="G34" s="11" t="s">
        <v>25</v>
      </c>
      <c r="H34" s="11" t="s">
        <v>26</v>
      </c>
      <c r="I34" s="11" t="s">
        <v>27</v>
      </c>
      <c r="J34" s="11" t="s">
        <v>28</v>
      </c>
    </row>
    <row r="35" spans="2:10" ht="15.75" customHeight="1" x14ac:dyDescent="0.2">
      <c r="B35" s="12" t="s">
        <v>10</v>
      </c>
      <c r="C35" s="16">
        <v>2715</v>
      </c>
      <c r="D35" s="22">
        <f t="shared" ref="D35:D38" si="3">C35*C$3</f>
        <v>21720000</v>
      </c>
      <c r="E35" s="14">
        <f t="shared" ref="E35:E38" si="4">D35*C$2</f>
        <v>1954800</v>
      </c>
      <c r="G35" s="15">
        <v>30.7</v>
      </c>
      <c r="H35" s="15">
        <v>66.8</v>
      </c>
      <c r="I35" s="15">
        <v>37.5</v>
      </c>
      <c r="J35" s="15">
        <v>119</v>
      </c>
    </row>
    <row r="36" spans="2:10" ht="15.75" customHeight="1" x14ac:dyDescent="0.2">
      <c r="B36" s="16" t="s">
        <v>11</v>
      </c>
      <c r="C36" s="16">
        <v>1135</v>
      </c>
      <c r="D36" s="22">
        <f t="shared" si="3"/>
        <v>9080000</v>
      </c>
      <c r="E36" s="14">
        <f t="shared" si="4"/>
        <v>817200</v>
      </c>
    </row>
    <row r="37" spans="2:10" ht="15.75" customHeight="1" x14ac:dyDescent="0.2">
      <c r="B37" s="16" t="s">
        <v>12</v>
      </c>
      <c r="C37" s="16">
        <v>599.70000000000005</v>
      </c>
      <c r="D37" s="22">
        <f t="shared" si="3"/>
        <v>4797600</v>
      </c>
      <c r="E37" s="14">
        <f t="shared" si="4"/>
        <v>431784</v>
      </c>
    </row>
    <row r="38" spans="2:10" ht="15.75" customHeight="1" x14ac:dyDescent="0.2">
      <c r="B38" s="16" t="s">
        <v>13</v>
      </c>
      <c r="C38" s="16">
        <v>0</v>
      </c>
      <c r="D38" s="22">
        <f t="shared" si="3"/>
        <v>0</v>
      </c>
      <c r="E38" s="14">
        <f t="shared" si="4"/>
        <v>0</v>
      </c>
    </row>
    <row r="39" spans="2:10" ht="15.75" customHeight="1" x14ac:dyDescent="0.2">
      <c r="B39" s="17" t="s">
        <v>14</v>
      </c>
      <c r="C39" s="22">
        <f t="shared" ref="C39:E39" si="5">SUM(C35:C38)</f>
        <v>4449.7</v>
      </c>
      <c r="D39" s="22">
        <f t="shared" si="5"/>
        <v>35597600</v>
      </c>
      <c r="E39" s="18">
        <f t="shared" si="5"/>
        <v>3203784</v>
      </c>
    </row>
    <row r="40" spans="2:10" ht="15.75" customHeight="1" x14ac:dyDescent="0.2"/>
    <row r="41" spans="2:10" ht="15.75" customHeight="1" x14ac:dyDescent="0.2">
      <c r="B41" s="7" t="s">
        <v>15</v>
      </c>
    </row>
    <row r="42" spans="2:10" ht="15.75" customHeight="1" x14ac:dyDescent="0.2">
      <c r="B42" s="9" t="s">
        <v>16</v>
      </c>
      <c r="C42" s="9" t="s">
        <v>17</v>
      </c>
    </row>
    <row r="43" spans="2:10" ht="15.75" customHeight="1" x14ac:dyDescent="0.2">
      <c r="B43" s="16" t="s">
        <v>18</v>
      </c>
      <c r="C43" s="14">
        <f>'Flowlines and risers'!H9</f>
        <v>236838194.55337688</v>
      </c>
    </row>
    <row r="44" spans="2:10" ht="15.75" customHeight="1" x14ac:dyDescent="0.2">
      <c r="B44" s="16" t="s">
        <v>10</v>
      </c>
      <c r="C44" s="14">
        <f>Pumps!I41</f>
        <v>3045354.1000201553</v>
      </c>
    </row>
    <row r="45" spans="2:10" ht="15.75" customHeight="1" x14ac:dyDescent="0.2">
      <c r="B45" s="16" t="s">
        <v>11</v>
      </c>
      <c r="C45" s="14">
        <f>Compressors!F21</f>
        <v>22761554.719916195</v>
      </c>
    </row>
    <row r="46" spans="2:10" ht="15.75" customHeight="1" x14ac:dyDescent="0.2">
      <c r="B46" s="16" t="s">
        <v>20</v>
      </c>
      <c r="C46" s="14">
        <f>Pumps!I47</f>
        <v>1128981.0827070919</v>
      </c>
    </row>
    <row r="47" spans="2:10" ht="15.75" customHeight="1" x14ac:dyDescent="0.2">
      <c r="B47" s="16" t="s">
        <v>21</v>
      </c>
      <c r="C47" s="14">
        <f>Compressors!F26</f>
        <v>8438218.9551020134</v>
      </c>
    </row>
    <row r="48" spans="2:10" ht="15.75" customHeight="1" x14ac:dyDescent="0.2">
      <c r="B48" s="17" t="s">
        <v>22</v>
      </c>
      <c r="C48" s="18">
        <f>SUM(C43:C47)</f>
        <v>272212303.41112232</v>
      </c>
    </row>
    <row r="49" spans="2:8" ht="15.75" customHeight="1" x14ac:dyDescent="0.2"/>
    <row r="50" spans="2:8" ht="15.75" customHeight="1" x14ac:dyDescent="0.2">
      <c r="B50" s="20" t="s">
        <v>23</v>
      </c>
      <c r="C50" s="21">
        <f>E39+C48</f>
        <v>275416087.41112232</v>
      </c>
    </row>
    <row r="51" spans="2:8" ht="15.75" customHeight="1" x14ac:dyDescent="0.2">
      <c r="E51" s="68"/>
    </row>
    <row r="52" spans="2:8" ht="15.75" customHeight="1" x14ac:dyDescent="0.2">
      <c r="B52" s="6" t="s">
        <v>29</v>
      </c>
      <c r="E52" s="70"/>
    </row>
    <row r="53" spans="2:8" ht="15.75" customHeight="1" x14ac:dyDescent="0.2">
      <c r="B53" s="7" t="s">
        <v>4</v>
      </c>
      <c r="E53" s="70"/>
    </row>
    <row r="54" spans="2:8" ht="15.75" customHeight="1" x14ac:dyDescent="0.2">
      <c r="B54" s="8" t="s">
        <v>5</v>
      </c>
      <c r="C54" s="8" t="s">
        <v>6</v>
      </c>
      <c r="D54" s="9" t="s">
        <v>7</v>
      </c>
      <c r="E54" s="10" t="s">
        <v>8</v>
      </c>
      <c r="G54" s="11" t="s">
        <v>30</v>
      </c>
      <c r="H54" s="11" t="s">
        <v>31</v>
      </c>
    </row>
    <row r="55" spans="2:8" ht="15.75" customHeight="1" x14ac:dyDescent="0.2">
      <c r="B55" s="12" t="s">
        <v>9</v>
      </c>
      <c r="C55" s="16">
        <f>1809.7 + 1016.4</f>
        <v>2826.1</v>
      </c>
      <c r="D55" s="22">
        <f t="shared" ref="D55:D56" si="6">C55*C$3</f>
        <v>22608800</v>
      </c>
      <c r="E55" s="14">
        <f t="shared" ref="E55:E56" si="7">D55*C$2</f>
        <v>2034792</v>
      </c>
      <c r="G55" s="15">
        <v>27.8</v>
      </c>
      <c r="H55" s="15">
        <v>95.6</v>
      </c>
    </row>
    <row r="56" spans="2:8" ht="15.75" customHeight="1" x14ac:dyDescent="0.2">
      <c r="B56" s="16" t="s">
        <v>32</v>
      </c>
      <c r="C56" s="16">
        <v>1480</v>
      </c>
      <c r="D56" s="22">
        <f t="shared" si="6"/>
        <v>11840000</v>
      </c>
      <c r="E56" s="14">
        <f t="shared" si="7"/>
        <v>1065600</v>
      </c>
    </row>
    <row r="57" spans="2:8" ht="15.75" customHeight="1" x14ac:dyDescent="0.2">
      <c r="B57" s="17" t="s">
        <v>14</v>
      </c>
      <c r="C57" s="22">
        <f t="shared" ref="C57:E57" si="8">SUM(C55:C56)</f>
        <v>4306.1000000000004</v>
      </c>
      <c r="D57" s="22">
        <f t="shared" si="8"/>
        <v>34448800</v>
      </c>
      <c r="E57" s="18">
        <f t="shared" si="8"/>
        <v>3100392</v>
      </c>
    </row>
    <row r="58" spans="2:8" ht="15.75" customHeight="1" x14ac:dyDescent="0.2"/>
    <row r="59" spans="2:8" ht="15.75" customHeight="1" x14ac:dyDescent="0.2">
      <c r="B59" s="7" t="s">
        <v>15</v>
      </c>
    </row>
    <row r="60" spans="2:8" ht="15.75" customHeight="1" x14ac:dyDescent="0.2">
      <c r="B60" s="9" t="s">
        <v>16</v>
      </c>
      <c r="C60" s="9" t="s">
        <v>17</v>
      </c>
    </row>
    <row r="61" spans="2:8" ht="15.75" customHeight="1" x14ac:dyDescent="0.2">
      <c r="B61" s="16" t="s">
        <v>18</v>
      </c>
      <c r="C61" s="14">
        <f>'Flowlines and risers'!H18</f>
        <v>164926888.99782136</v>
      </c>
    </row>
    <row r="62" spans="2:8" ht="15.75" customHeight="1" x14ac:dyDescent="0.2">
      <c r="B62" s="16" t="s">
        <v>9</v>
      </c>
      <c r="C62" s="14">
        <f>Pumps!I64</f>
        <v>32000000</v>
      </c>
    </row>
    <row r="63" spans="2:8" ht="15.75" customHeight="1" x14ac:dyDescent="0.2">
      <c r="B63" s="16" t="s">
        <v>19</v>
      </c>
      <c r="C63" s="22">
        <f>Pumps!I69</f>
        <v>10000000</v>
      </c>
    </row>
    <row r="64" spans="2:8" ht="15.75" customHeight="1" x14ac:dyDescent="0.2">
      <c r="B64" s="16" t="s">
        <v>33</v>
      </c>
      <c r="C64" s="14">
        <f>Separators!D14</f>
        <v>462182.71489791531</v>
      </c>
    </row>
    <row r="65" spans="2:8" ht="15.75" customHeight="1" x14ac:dyDescent="0.2">
      <c r="B65" s="17" t="s">
        <v>22</v>
      </c>
      <c r="C65" s="18">
        <f>SUM(C61:C64)</f>
        <v>207389071.71271926</v>
      </c>
    </row>
    <row r="66" spans="2:8" ht="15.75" customHeight="1" x14ac:dyDescent="0.2"/>
    <row r="67" spans="2:8" ht="15.75" customHeight="1" x14ac:dyDescent="0.2">
      <c r="B67" s="20" t="s">
        <v>23</v>
      </c>
      <c r="C67" s="21">
        <f>E57+C65</f>
        <v>210489463.71271926</v>
      </c>
    </row>
    <row r="68" spans="2:8" ht="15.75" customHeight="1" x14ac:dyDescent="0.2">
      <c r="E68" s="68"/>
    </row>
    <row r="69" spans="2:8" ht="15.75" customHeight="1" x14ac:dyDescent="0.2">
      <c r="B69" s="6" t="s">
        <v>34</v>
      </c>
      <c r="E69" s="70"/>
    </row>
    <row r="70" spans="2:8" ht="15.75" customHeight="1" x14ac:dyDescent="0.2">
      <c r="B70" s="7" t="s">
        <v>4</v>
      </c>
      <c r="E70" s="70"/>
    </row>
    <row r="71" spans="2:8" ht="15.75" customHeight="1" x14ac:dyDescent="0.2">
      <c r="B71" s="8" t="s">
        <v>5</v>
      </c>
      <c r="C71" s="8" t="s">
        <v>6</v>
      </c>
      <c r="D71" s="9" t="s">
        <v>7</v>
      </c>
      <c r="E71" s="10" t="s">
        <v>8</v>
      </c>
      <c r="G71" s="11" t="s">
        <v>30</v>
      </c>
      <c r="H71" s="11" t="s">
        <v>31</v>
      </c>
    </row>
    <row r="72" spans="2:8" ht="15.75" customHeight="1" x14ac:dyDescent="0.2">
      <c r="B72" s="12" t="s">
        <v>10</v>
      </c>
      <c r="C72" s="16">
        <v>1809.7</v>
      </c>
      <c r="D72" s="22">
        <f t="shared" ref="D72:D74" si="9">C72*C$3</f>
        <v>14477600</v>
      </c>
      <c r="E72" s="14">
        <f t="shared" ref="E72:E74" si="10">D72*C$2</f>
        <v>1302984</v>
      </c>
      <c r="G72" s="15">
        <v>28.2</v>
      </c>
      <c r="H72" s="15">
        <v>110.7</v>
      </c>
    </row>
    <row r="73" spans="2:8" ht="15.75" customHeight="1" x14ac:dyDescent="0.2">
      <c r="B73" s="16" t="s">
        <v>11</v>
      </c>
      <c r="C73" s="16">
        <v>1016.4</v>
      </c>
      <c r="D73" s="22">
        <f t="shared" si="9"/>
        <v>8131200</v>
      </c>
      <c r="E73" s="14">
        <f t="shared" si="10"/>
        <v>731808</v>
      </c>
    </row>
    <row r="74" spans="2:8" ht="15.75" customHeight="1" x14ac:dyDescent="0.2">
      <c r="B74" s="16" t="s">
        <v>32</v>
      </c>
      <c r="C74" s="16">
        <v>1480</v>
      </c>
      <c r="D74" s="22">
        <f t="shared" si="9"/>
        <v>11840000</v>
      </c>
      <c r="E74" s="14">
        <f t="shared" si="10"/>
        <v>1065600</v>
      </c>
    </row>
    <row r="75" spans="2:8" ht="15.75" customHeight="1" x14ac:dyDescent="0.2">
      <c r="B75" s="17" t="s">
        <v>14</v>
      </c>
      <c r="C75" s="22">
        <f t="shared" ref="C75:E75" si="11">SUM(C72:C74)</f>
        <v>4306.1000000000004</v>
      </c>
      <c r="D75" s="22">
        <f t="shared" si="11"/>
        <v>34448800</v>
      </c>
      <c r="E75" s="18">
        <f t="shared" si="11"/>
        <v>3100392</v>
      </c>
    </row>
    <row r="76" spans="2:8" ht="15.75" customHeight="1" x14ac:dyDescent="0.2"/>
    <row r="77" spans="2:8" ht="15.75" customHeight="1" x14ac:dyDescent="0.2">
      <c r="B77" s="7" t="s">
        <v>15</v>
      </c>
    </row>
    <row r="78" spans="2:8" ht="15.75" customHeight="1" x14ac:dyDescent="0.2">
      <c r="B78" s="9" t="s">
        <v>16</v>
      </c>
      <c r="C78" s="9" t="s">
        <v>17</v>
      </c>
    </row>
    <row r="79" spans="2:8" ht="15.75" customHeight="1" x14ac:dyDescent="0.2">
      <c r="B79" s="16" t="s">
        <v>18</v>
      </c>
      <c r="C79" s="14">
        <f>C61</f>
        <v>164926888.99782136</v>
      </c>
    </row>
    <row r="80" spans="2:8" ht="15.75" customHeight="1" x14ac:dyDescent="0.2">
      <c r="B80" s="16" t="s">
        <v>10</v>
      </c>
      <c r="C80" s="14">
        <f>Pumps!I85</f>
        <v>2365921.6142839286</v>
      </c>
    </row>
    <row r="81" spans="2:3" ht="15.75" customHeight="1" x14ac:dyDescent="0.2">
      <c r="B81" s="16" t="s">
        <v>11</v>
      </c>
      <c r="C81" s="14">
        <f>Compressors!F35</f>
        <v>22035464.946811151</v>
      </c>
    </row>
    <row r="82" spans="2:3" ht="15.75" customHeight="1" x14ac:dyDescent="0.2">
      <c r="B82" s="16" t="s">
        <v>20</v>
      </c>
      <c r="C82" s="14">
        <f>Pumps!I90</f>
        <v>877100.21822312963</v>
      </c>
    </row>
    <row r="83" spans="2:3" ht="15.75" customHeight="1" x14ac:dyDescent="0.2">
      <c r="B83" s="16" t="s">
        <v>35</v>
      </c>
      <c r="C83" s="14">
        <f>Compressors!F40</f>
        <v>8169041.1875060368</v>
      </c>
    </row>
    <row r="84" spans="2:3" ht="15.75" customHeight="1" x14ac:dyDescent="0.2">
      <c r="B84" s="16" t="s">
        <v>33</v>
      </c>
      <c r="C84" s="14">
        <f>Separators!D14</f>
        <v>462182.71489791531</v>
      </c>
    </row>
    <row r="85" spans="2:3" ht="15.75" customHeight="1" x14ac:dyDescent="0.2">
      <c r="B85" s="17" t="s">
        <v>22</v>
      </c>
      <c r="C85" s="18">
        <f>SUM(C79:C84)</f>
        <v>198836599.6795435</v>
      </c>
    </row>
    <row r="86" spans="2:3" ht="15.75" customHeight="1" x14ac:dyDescent="0.2"/>
    <row r="87" spans="2:3" ht="15.75" customHeight="1" x14ac:dyDescent="0.2">
      <c r="B87" s="20" t="s">
        <v>23</v>
      </c>
      <c r="C87" s="21">
        <f>E75+C85</f>
        <v>201936991.6795435</v>
      </c>
    </row>
    <row r="88" spans="2:3" ht="15.75" customHeight="1" x14ac:dyDescent="0.2"/>
    <row r="89" spans="2:3" ht="15.75" customHeight="1" x14ac:dyDescent="0.2"/>
    <row r="90" spans="2:3" ht="15.75" customHeight="1" x14ac:dyDescent="0.2"/>
    <row r="91" spans="2:3" ht="15.75" customHeight="1" x14ac:dyDescent="0.2"/>
    <row r="92" spans="2:3" ht="15.75" customHeight="1" x14ac:dyDescent="0.2"/>
    <row r="93" spans="2:3" ht="15.75" customHeight="1" x14ac:dyDescent="0.2"/>
    <row r="94" spans="2:3" ht="15.75" customHeight="1" x14ac:dyDescent="0.2"/>
    <row r="95" spans="2:3" ht="15.75" customHeight="1" x14ac:dyDescent="0.2"/>
    <row r="96" spans="2:3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.3" footer="0.3"/>
  <pageSetup paperSize="9"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>
      <selection activeCell="E27" sqref="E27"/>
    </sheetView>
  </sheetViews>
  <sheetFormatPr baseColWidth="10" defaultColWidth="13.5" defaultRowHeight="15" customHeight="1" x14ac:dyDescent="0.2"/>
  <cols>
    <col min="1" max="1" width="16.1640625" customWidth="1"/>
    <col min="2" max="2" width="10.5" customWidth="1"/>
    <col min="3" max="3" width="14.33203125" customWidth="1"/>
    <col min="4" max="4" width="15.83203125" customWidth="1"/>
    <col min="5" max="5" width="10.5" customWidth="1"/>
    <col min="6" max="6" width="16.1640625" customWidth="1"/>
    <col min="7" max="7" width="24.5" customWidth="1"/>
    <col min="8" max="8" width="13.33203125" customWidth="1"/>
    <col min="9" max="26" width="10.5" customWidth="1"/>
  </cols>
  <sheetData>
    <row r="1" spans="1:11" ht="15.75" customHeight="1" x14ac:dyDescent="0.2">
      <c r="H1" s="68"/>
    </row>
    <row r="2" spans="1:11" ht="15.75" customHeight="1" x14ac:dyDescent="0.2">
      <c r="A2" s="29" t="s">
        <v>198</v>
      </c>
      <c r="H2" s="70"/>
    </row>
    <row r="3" spans="1:11" ht="15.75" customHeight="1" x14ac:dyDescent="0.2">
      <c r="A3" s="7" t="s">
        <v>199</v>
      </c>
      <c r="H3" s="68"/>
    </row>
    <row r="4" spans="1:11" ht="15.75" customHeight="1" x14ac:dyDescent="0.2">
      <c r="A4" s="9" t="s">
        <v>200</v>
      </c>
      <c r="B4" s="9" t="s">
        <v>196</v>
      </c>
      <c r="C4" s="9" t="s">
        <v>201</v>
      </c>
      <c r="D4" s="9" t="s">
        <v>202</v>
      </c>
      <c r="E4" s="9" t="s">
        <v>203</v>
      </c>
      <c r="F4" s="9" t="s">
        <v>204</v>
      </c>
      <c r="G4" s="9" t="s">
        <v>205</v>
      </c>
      <c r="H4" s="9" t="s">
        <v>206</v>
      </c>
      <c r="J4" s="54" t="s">
        <v>207</v>
      </c>
      <c r="K4" s="54" t="s">
        <v>138</v>
      </c>
    </row>
    <row r="5" spans="1:11" ht="15.75" customHeight="1" x14ac:dyDescent="0.2">
      <c r="A5" s="62" t="s">
        <v>208</v>
      </c>
      <c r="B5" s="62">
        <v>150000</v>
      </c>
      <c r="C5" s="62">
        <v>8</v>
      </c>
      <c r="D5" s="62">
        <v>230</v>
      </c>
      <c r="E5" s="62">
        <v>0.56999999999999995</v>
      </c>
      <c r="F5" s="62">
        <f>440*K5/K5</f>
        <v>440</v>
      </c>
      <c r="G5" s="62">
        <v>290</v>
      </c>
      <c r="H5" s="63">
        <f>B5*D5*E5+G5*B5+F5*B5</f>
        <v>129165000</v>
      </c>
      <c r="J5" s="49">
        <v>550.79999999999995</v>
      </c>
      <c r="K5" s="49">
        <v>579.79999999999995</v>
      </c>
    </row>
    <row r="6" spans="1:11" ht="15.75" customHeight="1" x14ac:dyDescent="0.2">
      <c r="A6" s="62" t="s">
        <v>209</v>
      </c>
      <c r="B6" s="62">
        <v>510</v>
      </c>
      <c r="C6" s="62">
        <v>8</v>
      </c>
      <c r="D6" s="62">
        <v>2300</v>
      </c>
      <c r="E6" s="62">
        <v>1.1000000000000001</v>
      </c>
      <c r="F6" s="62"/>
      <c r="G6" s="62">
        <v>290</v>
      </c>
      <c r="H6" s="63">
        <f>B6*D6*E6+G6*B6</f>
        <v>1438200</v>
      </c>
    </row>
    <row r="7" spans="1:11" ht="15.75" customHeight="1" x14ac:dyDescent="0.2">
      <c r="A7" s="62" t="s">
        <v>210</v>
      </c>
      <c r="B7" s="62">
        <v>150000</v>
      </c>
      <c r="C7" s="62">
        <v>4</v>
      </c>
      <c r="D7" s="62">
        <v>230</v>
      </c>
      <c r="E7" s="62">
        <v>0.15</v>
      </c>
      <c r="F7" s="62">
        <f>440*K5/K5</f>
        <v>440</v>
      </c>
      <c r="G7" s="62">
        <v>150</v>
      </c>
      <c r="H7" s="63">
        <f>B7*D7*E7+G7*B7+F7*B7</f>
        <v>93675000</v>
      </c>
    </row>
    <row r="8" spans="1:11" ht="15.75" customHeight="1" x14ac:dyDescent="0.2">
      <c r="A8" s="62" t="s">
        <v>211</v>
      </c>
      <c r="B8" s="62">
        <v>510</v>
      </c>
      <c r="C8" s="62">
        <v>4</v>
      </c>
      <c r="D8" s="62">
        <v>2300</v>
      </c>
      <c r="E8" s="62">
        <v>0.5</v>
      </c>
      <c r="F8" s="62"/>
      <c r="G8" s="62">
        <v>250</v>
      </c>
      <c r="H8" s="63">
        <f>B8*D8*E8+G8*B8</f>
        <v>714000</v>
      </c>
    </row>
    <row r="9" spans="1:11" ht="15.75" customHeight="1" x14ac:dyDescent="0.2">
      <c r="G9" s="43" t="s">
        <v>212</v>
      </c>
      <c r="H9" s="53">
        <f>SUM(H5:H8)*K5/J5</f>
        <v>236838194.55337688</v>
      </c>
    </row>
    <row r="10" spans="1:11" ht="15.75" customHeight="1" x14ac:dyDescent="0.2">
      <c r="B10" s="66"/>
      <c r="C10" s="66"/>
      <c r="D10" s="66"/>
      <c r="E10" s="66"/>
      <c r="F10" s="66"/>
      <c r="G10" s="66"/>
      <c r="H10" s="66"/>
    </row>
    <row r="11" spans="1:11" ht="15.75" customHeight="1" x14ac:dyDescent="0.2">
      <c r="A11" s="68"/>
      <c r="B11" s="66"/>
      <c r="C11" s="66"/>
      <c r="D11" s="66"/>
      <c r="E11" s="66"/>
      <c r="F11" s="66"/>
      <c r="G11" s="66"/>
      <c r="H11" s="66"/>
    </row>
    <row r="12" spans="1:11" ht="15.75" customHeight="1" x14ac:dyDescent="0.2">
      <c r="A12" s="75"/>
      <c r="B12" s="71"/>
      <c r="C12" s="71"/>
      <c r="D12" s="71"/>
      <c r="E12" s="71"/>
      <c r="F12" s="66"/>
      <c r="G12" s="71"/>
      <c r="H12" s="71"/>
    </row>
    <row r="13" spans="1:11" ht="15.75" customHeight="1" x14ac:dyDescent="0.2">
      <c r="A13" s="75" t="s">
        <v>213</v>
      </c>
      <c r="B13" s="66"/>
      <c r="C13" s="66"/>
      <c r="D13" s="66"/>
      <c r="E13" s="66"/>
      <c r="F13" s="66"/>
      <c r="G13" s="66"/>
      <c r="H13" s="66"/>
    </row>
    <row r="14" spans="1:11" ht="15.75" customHeight="1" x14ac:dyDescent="0.2">
      <c r="A14" s="7" t="s">
        <v>214</v>
      </c>
      <c r="B14" s="66"/>
      <c r="C14" s="66"/>
      <c r="D14" s="66"/>
      <c r="E14" s="66"/>
      <c r="F14" s="66"/>
      <c r="G14" s="66"/>
      <c r="H14" s="66"/>
    </row>
    <row r="15" spans="1:11" ht="15.75" customHeight="1" x14ac:dyDescent="0.2">
      <c r="A15" s="9" t="s">
        <v>200</v>
      </c>
      <c r="B15" s="9" t="s">
        <v>196</v>
      </c>
      <c r="C15" s="9" t="s">
        <v>215</v>
      </c>
      <c r="D15" s="9" t="s">
        <v>202</v>
      </c>
      <c r="E15" s="9" t="s">
        <v>203</v>
      </c>
      <c r="F15" s="9" t="s">
        <v>204</v>
      </c>
      <c r="G15" s="9" t="s">
        <v>205</v>
      </c>
      <c r="H15" s="9" t="s">
        <v>206</v>
      </c>
    </row>
    <row r="16" spans="1:11" ht="15.75" customHeight="1" x14ac:dyDescent="0.2">
      <c r="A16" s="62" t="s">
        <v>216</v>
      </c>
      <c r="B16" s="62">
        <v>150000</v>
      </c>
      <c r="C16" s="62">
        <v>10</v>
      </c>
      <c r="D16" s="62">
        <v>230</v>
      </c>
      <c r="E16" s="62">
        <v>1</v>
      </c>
      <c r="F16" s="62">
        <f>440*K5/K5</f>
        <v>440</v>
      </c>
      <c r="G16" s="62">
        <v>360</v>
      </c>
      <c r="H16" s="63">
        <f>B16*D16*E16+G16*B16+F16*B16</f>
        <v>154500000</v>
      </c>
    </row>
    <row r="17" spans="1:8" ht="15.75" customHeight="1" x14ac:dyDescent="0.2">
      <c r="A17" s="62" t="s">
        <v>217</v>
      </c>
      <c r="B17" s="62">
        <v>510</v>
      </c>
      <c r="C17" s="62">
        <v>10</v>
      </c>
      <c r="D17" s="62">
        <v>2300</v>
      </c>
      <c r="E17" s="62">
        <v>1.7</v>
      </c>
      <c r="F17" s="62"/>
      <c r="G17" s="62">
        <v>360</v>
      </c>
      <c r="H17" s="63">
        <f>B17*D17*E17+G17*B17</f>
        <v>2177700</v>
      </c>
    </row>
    <row r="18" spans="1:8" ht="15.75" customHeight="1" x14ac:dyDescent="0.2">
      <c r="A18" s="69"/>
      <c r="B18" s="69"/>
      <c r="C18" s="70"/>
      <c r="D18" s="69"/>
      <c r="E18" s="70"/>
      <c r="F18" s="68"/>
      <c r="G18" s="43" t="s">
        <v>212</v>
      </c>
      <c r="H18" s="65">
        <f>SUM(H16:H17)*K5/J5</f>
        <v>164926888.99782136</v>
      </c>
    </row>
    <row r="19" spans="1:8" ht="15.75" customHeight="1" x14ac:dyDescent="0.2">
      <c r="A19" s="70"/>
      <c r="B19" s="70"/>
      <c r="C19" s="70"/>
      <c r="D19" s="70"/>
      <c r="E19" s="70"/>
      <c r="F19" s="69"/>
      <c r="G19" s="70"/>
      <c r="H19" s="70"/>
    </row>
    <row r="20" spans="1:8" ht="15.75" customHeight="1" x14ac:dyDescent="0.2">
      <c r="A20" s="68"/>
      <c r="B20" s="68"/>
      <c r="C20" s="68"/>
      <c r="D20" s="68"/>
      <c r="E20" s="68"/>
      <c r="F20" s="68"/>
      <c r="G20" s="68"/>
      <c r="H20" s="70"/>
    </row>
    <row r="21" spans="1:8" ht="15.75" customHeight="1" x14ac:dyDescent="0.2">
      <c r="A21" s="68"/>
      <c r="B21" s="68"/>
      <c r="C21" s="68"/>
      <c r="D21" s="68"/>
      <c r="E21" s="68"/>
      <c r="F21" s="68"/>
      <c r="G21" s="68"/>
      <c r="H21" s="70"/>
    </row>
    <row r="22" spans="1:8" ht="15.75" customHeight="1" x14ac:dyDescent="0.2">
      <c r="A22" s="68"/>
      <c r="B22" s="68"/>
      <c r="C22" s="68"/>
      <c r="D22" s="68"/>
      <c r="E22" s="68"/>
      <c r="F22" s="68"/>
      <c r="G22" s="68"/>
      <c r="H22" s="70"/>
    </row>
    <row r="23" spans="1:8" ht="15.75" customHeight="1" x14ac:dyDescent="0.2">
      <c r="A23" s="68"/>
      <c r="B23" s="68"/>
      <c r="C23" s="68"/>
      <c r="D23" s="68"/>
      <c r="E23" s="68"/>
      <c r="F23" s="68"/>
      <c r="G23" s="68"/>
      <c r="H23" s="69"/>
    </row>
    <row r="24" spans="1:8" ht="15.75" customHeight="1" x14ac:dyDescent="0.2">
      <c r="A24" s="68"/>
      <c r="B24" s="68"/>
      <c r="C24" s="68"/>
      <c r="D24" s="68"/>
      <c r="E24" s="68"/>
      <c r="F24" s="68"/>
      <c r="G24" s="68"/>
      <c r="H24" s="70"/>
    </row>
    <row r="25" spans="1:8" ht="15.75" customHeight="1" x14ac:dyDescent="0.2">
      <c r="A25" s="68"/>
      <c r="B25" s="68"/>
      <c r="C25" s="68"/>
      <c r="D25" s="68"/>
      <c r="E25" s="68"/>
      <c r="F25" s="68"/>
      <c r="G25" s="68"/>
      <c r="H25" s="70"/>
    </row>
    <row r="26" spans="1:8" ht="15.75" customHeight="1" x14ac:dyDescent="0.2">
      <c r="A26" s="68"/>
      <c r="B26" s="68"/>
      <c r="C26" s="68"/>
      <c r="D26" s="68"/>
      <c r="E26" s="68"/>
      <c r="F26" s="68"/>
      <c r="G26" s="68"/>
      <c r="H26" s="70"/>
    </row>
    <row r="27" spans="1:8" ht="15.75" customHeight="1" x14ac:dyDescent="0.2">
      <c r="A27" s="69"/>
      <c r="B27" s="69"/>
      <c r="C27" s="70"/>
      <c r="D27" s="69"/>
      <c r="E27" s="70"/>
      <c r="F27" s="70"/>
      <c r="G27" s="70"/>
      <c r="H27" s="70"/>
    </row>
    <row r="28" spans="1:8" ht="15.75" customHeight="1" x14ac:dyDescent="0.2">
      <c r="A28" s="70"/>
      <c r="B28" s="70"/>
      <c r="C28" s="70"/>
      <c r="D28" s="70"/>
      <c r="E28" s="70"/>
      <c r="F28" s="70"/>
      <c r="G28" s="70"/>
      <c r="H28" s="70"/>
    </row>
    <row r="29" spans="1:8" ht="15.75" customHeight="1" x14ac:dyDescent="0.2">
      <c r="A29" s="75"/>
      <c r="B29" s="70"/>
      <c r="C29" s="70"/>
      <c r="D29" s="70"/>
      <c r="E29" s="70"/>
      <c r="F29" s="70"/>
      <c r="G29" s="70"/>
      <c r="H29" s="70"/>
    </row>
    <row r="30" spans="1:8" ht="15.75" customHeight="1" x14ac:dyDescent="0.2">
      <c r="A30" s="70"/>
      <c r="B30" s="70"/>
      <c r="C30" s="70"/>
      <c r="D30" s="70"/>
      <c r="E30" s="70"/>
      <c r="F30" s="70"/>
      <c r="G30" s="70"/>
      <c r="H30" s="70"/>
    </row>
    <row r="31" spans="1:8" ht="15.75" customHeight="1" x14ac:dyDescent="0.2">
      <c r="A31" s="69"/>
      <c r="B31" s="69"/>
      <c r="C31" s="69"/>
      <c r="D31" s="69"/>
      <c r="E31" s="69"/>
      <c r="F31" s="69"/>
      <c r="G31" s="69"/>
      <c r="H31" s="69"/>
    </row>
    <row r="32" spans="1:8" ht="15.75" customHeight="1" x14ac:dyDescent="0.2">
      <c r="A32" s="69"/>
      <c r="B32" s="69"/>
      <c r="C32" s="70"/>
      <c r="D32" s="69"/>
      <c r="E32" s="70"/>
      <c r="F32" s="70"/>
      <c r="G32" s="70"/>
      <c r="H32" s="70"/>
    </row>
    <row r="33" spans="1:8" ht="15.75" customHeight="1" x14ac:dyDescent="0.2">
      <c r="A33" s="69"/>
      <c r="B33" s="69"/>
      <c r="C33" s="70"/>
      <c r="D33" s="69"/>
      <c r="E33" s="70"/>
      <c r="F33" s="70"/>
      <c r="G33" s="70"/>
      <c r="H33" s="70"/>
    </row>
    <row r="34" spans="1:8" ht="15.75" customHeight="1" x14ac:dyDescent="0.2">
      <c r="A34" s="70"/>
      <c r="B34" s="70"/>
      <c r="C34" s="70"/>
      <c r="D34" s="70"/>
      <c r="E34" s="70"/>
      <c r="F34" s="69"/>
      <c r="G34" s="70"/>
      <c r="H34" s="70"/>
    </row>
    <row r="35" spans="1:8" ht="15.75" customHeight="1" x14ac:dyDescent="0.2">
      <c r="A35" s="70"/>
      <c r="B35" s="70"/>
      <c r="C35" s="70"/>
      <c r="D35" s="70"/>
      <c r="E35" s="70"/>
      <c r="F35" s="70"/>
      <c r="G35" s="70"/>
      <c r="H35" s="70"/>
    </row>
    <row r="36" spans="1:8" ht="15.75" customHeight="1" x14ac:dyDescent="0.2">
      <c r="A36" s="68"/>
      <c r="B36" s="68"/>
      <c r="C36" s="68"/>
      <c r="D36" s="68"/>
      <c r="E36" s="68"/>
      <c r="F36" s="68"/>
      <c r="G36" s="68"/>
      <c r="H36" s="68"/>
    </row>
    <row r="37" spans="1:8" ht="15.75" customHeight="1" x14ac:dyDescent="0.2">
      <c r="A37" s="68"/>
      <c r="B37" s="68"/>
      <c r="C37" s="68"/>
      <c r="D37" s="68"/>
      <c r="E37" s="68"/>
      <c r="F37" s="68"/>
      <c r="G37" s="68"/>
      <c r="H37" s="68"/>
    </row>
    <row r="38" spans="1:8" ht="15.75" customHeight="1" x14ac:dyDescent="0.2">
      <c r="A38" s="68"/>
      <c r="B38" s="68"/>
      <c r="C38" s="68"/>
      <c r="D38" s="68"/>
      <c r="E38" s="68"/>
      <c r="F38" s="68"/>
    </row>
    <row r="39" spans="1:8" ht="15.75" customHeight="1" x14ac:dyDescent="0.2"/>
    <row r="40" spans="1:8" ht="15.75" customHeight="1" x14ac:dyDescent="0.2"/>
    <row r="41" spans="1:8" ht="15.75" customHeight="1" x14ac:dyDescent="0.2"/>
    <row r="42" spans="1:8" ht="15.75" customHeight="1" x14ac:dyDescent="0.2"/>
    <row r="43" spans="1:8" ht="15.75" customHeight="1" x14ac:dyDescent="0.2"/>
    <row r="44" spans="1:8" ht="15.75" customHeight="1" x14ac:dyDescent="0.2"/>
    <row r="45" spans="1:8" ht="15.75" customHeight="1" x14ac:dyDescent="0.2"/>
    <row r="46" spans="1:8" ht="15.75" customHeight="1" x14ac:dyDescent="0.2"/>
    <row r="47" spans="1:8" ht="15.75" customHeight="1" x14ac:dyDescent="0.2"/>
    <row r="48" spans="1: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workbookViewId="0"/>
  </sheetViews>
  <sheetFormatPr baseColWidth="10" defaultColWidth="13.5" defaultRowHeight="15" customHeight="1" x14ac:dyDescent="0.2"/>
  <cols>
    <col min="3" max="3" width="17" customWidth="1"/>
    <col min="4" max="4" width="17.5" customWidth="1"/>
  </cols>
  <sheetData>
    <row r="3" spans="2:8" x14ac:dyDescent="0.2">
      <c r="B3" s="5"/>
    </row>
    <row r="5" spans="2:8" x14ac:dyDescent="0.2">
      <c r="B5" s="55" t="s">
        <v>81</v>
      </c>
    </row>
    <row r="6" spans="2:8" x14ac:dyDescent="0.2">
      <c r="B6" s="7" t="s">
        <v>218</v>
      </c>
    </row>
    <row r="7" spans="2:8" x14ac:dyDescent="0.2">
      <c r="B7" s="9" t="s">
        <v>219</v>
      </c>
      <c r="C7" s="9" t="s">
        <v>220</v>
      </c>
      <c r="D7" s="9" t="s">
        <v>221</v>
      </c>
      <c r="F7" s="54" t="s">
        <v>222</v>
      </c>
      <c r="G7" s="54" t="s">
        <v>223</v>
      </c>
      <c r="H7" s="54" t="s">
        <v>138</v>
      </c>
    </row>
    <row r="8" spans="2:8" x14ac:dyDescent="0.2">
      <c r="B8" s="16">
        <v>150000</v>
      </c>
      <c r="C8" s="16">
        <v>375</v>
      </c>
      <c r="D8" s="18">
        <f>B8*C8*H8/F8</f>
        <v>65279723.779023208</v>
      </c>
      <c r="F8" s="49">
        <v>499.6</v>
      </c>
      <c r="G8" s="49">
        <v>575.4</v>
      </c>
      <c r="H8" s="49">
        <v>579.79999999999995</v>
      </c>
    </row>
    <row r="9" spans="2:8" x14ac:dyDescent="0.2">
      <c r="D9" s="19"/>
    </row>
    <row r="10" spans="2:8" x14ac:dyDescent="0.2">
      <c r="D10" s="19"/>
    </row>
    <row r="11" spans="2:8" x14ac:dyDescent="0.2">
      <c r="B11" s="55" t="s">
        <v>224</v>
      </c>
      <c r="D11" s="19"/>
    </row>
    <row r="12" spans="2:8" x14ac:dyDescent="0.2">
      <c r="B12" s="7" t="s">
        <v>225</v>
      </c>
      <c r="D12" s="19"/>
    </row>
    <row r="13" spans="2:8" x14ac:dyDescent="0.2">
      <c r="B13" s="9" t="s">
        <v>219</v>
      </c>
      <c r="C13" s="9" t="s">
        <v>220</v>
      </c>
      <c r="D13" s="64" t="s">
        <v>221</v>
      </c>
    </row>
    <row r="14" spans="2:8" x14ac:dyDescent="0.2">
      <c r="B14" s="16">
        <v>150000</v>
      </c>
      <c r="C14" s="16">
        <v>125</v>
      </c>
      <c r="D14" s="18">
        <f>B14*C14*H8/G8</f>
        <v>18893378.519290928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4:F11"/>
  <sheetViews>
    <sheetView workbookViewId="0"/>
  </sheetViews>
  <sheetFormatPr baseColWidth="10" defaultColWidth="13.5" defaultRowHeight="15" customHeight="1" x14ac:dyDescent="0.2"/>
  <sheetData>
    <row r="4" spans="2:6" x14ac:dyDescent="0.2">
      <c r="B4" s="7" t="s">
        <v>226</v>
      </c>
    </row>
    <row r="5" spans="2:6" x14ac:dyDescent="0.2">
      <c r="B5" s="9" t="s">
        <v>227</v>
      </c>
      <c r="C5" s="9" t="s">
        <v>228</v>
      </c>
      <c r="D5" s="9" t="s">
        <v>17</v>
      </c>
      <c r="E5" s="9" t="s">
        <v>229</v>
      </c>
    </row>
    <row r="6" spans="2:6" x14ac:dyDescent="0.2">
      <c r="B6" s="16">
        <v>50</v>
      </c>
      <c r="C6" s="16">
        <v>1000</v>
      </c>
      <c r="D6" s="16">
        <v>38000</v>
      </c>
      <c r="E6" s="16">
        <v>0.35</v>
      </c>
    </row>
    <row r="8" spans="2:6" x14ac:dyDescent="0.2">
      <c r="B8" s="55" t="s">
        <v>89</v>
      </c>
    </row>
    <row r="9" spans="2:6" x14ac:dyDescent="0.2">
      <c r="B9" s="7" t="s">
        <v>230</v>
      </c>
    </row>
    <row r="10" spans="2:6" x14ac:dyDescent="0.2">
      <c r="B10" s="9" t="s">
        <v>227</v>
      </c>
      <c r="C10" s="9" t="s">
        <v>138</v>
      </c>
      <c r="D10" s="9" t="s">
        <v>46</v>
      </c>
      <c r="E10" s="9" t="s">
        <v>135</v>
      </c>
      <c r="F10" s="9" t="s">
        <v>17</v>
      </c>
    </row>
    <row r="11" spans="2:6" x14ac:dyDescent="0.2">
      <c r="B11" s="16">
        <f>351.3*1000/3600</f>
        <v>97.583333333333329</v>
      </c>
      <c r="C11" s="16">
        <v>579.79999999999995</v>
      </c>
      <c r="D11" s="16">
        <f>'Installation Factors'!B5</f>
        <v>4.2079999999999993</v>
      </c>
      <c r="E11" s="16">
        <v>3</v>
      </c>
      <c r="F11" s="41">
        <f>E11*D11*C11/C6*D6*(B11/B6)^E6</f>
        <v>351480.1225404407</v>
      </c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workbookViewId="0">
      <selection activeCell="F23" sqref="F23"/>
    </sheetView>
  </sheetViews>
  <sheetFormatPr baseColWidth="10" defaultColWidth="13.5" defaultRowHeight="15" customHeight="1" x14ac:dyDescent="0.2"/>
  <cols>
    <col min="1" max="1" width="14.83203125" customWidth="1"/>
  </cols>
  <sheetData>
    <row r="2" spans="1:11" x14ac:dyDescent="0.2">
      <c r="A2" s="23" t="s">
        <v>36</v>
      </c>
      <c r="B2" s="79" t="s">
        <v>37</v>
      </c>
      <c r="C2" s="79" t="s">
        <v>38</v>
      </c>
      <c r="D2" s="79" t="s">
        <v>39</v>
      </c>
      <c r="E2" s="79" t="s">
        <v>40</v>
      </c>
      <c r="F2" s="79" t="s">
        <v>41</v>
      </c>
      <c r="G2" s="79" t="s">
        <v>42</v>
      </c>
      <c r="H2" s="79" t="s">
        <v>43</v>
      </c>
      <c r="I2" s="79" t="s">
        <v>44</v>
      </c>
      <c r="J2" s="24"/>
      <c r="K2" s="24"/>
    </row>
    <row r="3" spans="1:11" x14ac:dyDescent="0.2">
      <c r="A3" s="78" t="s">
        <v>45</v>
      </c>
      <c r="B3" s="77">
        <v>0.3</v>
      </c>
      <c r="C3" s="77">
        <v>0.8</v>
      </c>
      <c r="D3" s="77">
        <v>0.3</v>
      </c>
      <c r="E3" s="77">
        <v>0.2</v>
      </c>
      <c r="F3" s="77">
        <v>0.3</v>
      </c>
      <c r="G3" s="77">
        <v>0.2</v>
      </c>
      <c r="H3" s="77">
        <v>0.1</v>
      </c>
      <c r="I3" s="77">
        <v>1.56</v>
      </c>
      <c r="J3" s="5"/>
      <c r="K3" s="25"/>
    </row>
    <row r="4" spans="1:11" x14ac:dyDescent="0.2">
      <c r="A4" s="5"/>
      <c r="B4" s="5"/>
      <c r="C4" s="5"/>
      <c r="D4" s="5"/>
      <c r="E4" s="5"/>
      <c r="F4" s="5"/>
      <c r="G4" s="5"/>
      <c r="H4" s="5"/>
      <c r="I4" s="5"/>
      <c r="J4" s="5"/>
    </row>
    <row r="5" spans="1:11" x14ac:dyDescent="0.2">
      <c r="A5" s="26" t="s">
        <v>46</v>
      </c>
      <c r="B5" s="27">
        <f>((1+C3)*I3+B3+D3+E3+F3+G3+H3)</f>
        <v>4.2079999999999993</v>
      </c>
      <c r="I5" s="5"/>
      <c r="J5" s="5"/>
    </row>
    <row r="6" spans="1:11" x14ac:dyDescent="0.2">
      <c r="A6" s="26" t="s">
        <v>47</v>
      </c>
      <c r="B6" s="27">
        <f>C3+D3+E3+B3</f>
        <v>1.6</v>
      </c>
      <c r="I6" s="5"/>
      <c r="J6" s="5"/>
    </row>
    <row r="7" spans="1:11" x14ac:dyDescent="0.2">
      <c r="A7" s="5"/>
      <c r="I7" s="5"/>
      <c r="J7" s="5"/>
    </row>
    <row r="8" spans="1:11" x14ac:dyDescent="0.2">
      <c r="A8" s="5"/>
      <c r="I8" s="5"/>
      <c r="J8" s="5"/>
    </row>
    <row r="9" spans="1:11" x14ac:dyDescent="0.2">
      <c r="A9" s="5"/>
      <c r="B9" s="5"/>
      <c r="F9" s="5"/>
      <c r="I9" s="5"/>
      <c r="J9" s="5"/>
    </row>
    <row r="10" spans="1:11" x14ac:dyDescent="0.2">
      <c r="A10" s="5"/>
      <c r="I10" s="5"/>
      <c r="J10" s="5"/>
    </row>
    <row r="11" spans="1:11" x14ac:dyDescent="0.2">
      <c r="A11" s="5"/>
      <c r="B11" s="5"/>
      <c r="F11" s="5"/>
      <c r="I11" s="5"/>
      <c r="J11" s="5"/>
    </row>
    <row r="12" spans="1:11" x14ac:dyDescent="0.2">
      <c r="A12" s="5"/>
      <c r="I12" s="5"/>
      <c r="J12" s="5"/>
    </row>
    <row r="16" spans="1:11" x14ac:dyDescent="0.2">
      <c r="B16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00"/>
  <sheetViews>
    <sheetView zoomScale="94" workbookViewId="0">
      <selection activeCell="I32" sqref="I32"/>
    </sheetView>
  </sheetViews>
  <sheetFormatPr baseColWidth="10" defaultColWidth="13.5" defaultRowHeight="15" customHeight="1" x14ac:dyDescent="0.2"/>
  <cols>
    <col min="1" max="1" width="10.5" customWidth="1"/>
    <col min="2" max="2" width="20.33203125" customWidth="1"/>
    <col min="3" max="3" width="15.6640625" customWidth="1"/>
    <col min="4" max="4" width="13.33203125" customWidth="1"/>
    <col min="5" max="5" width="18.83203125" customWidth="1"/>
    <col min="6" max="6" width="15.1640625" customWidth="1"/>
    <col min="7" max="7" width="15.5" customWidth="1"/>
    <col min="8" max="8" width="20" customWidth="1"/>
    <col min="9" max="9" width="20.33203125" customWidth="1"/>
    <col min="10" max="10" width="17.33203125" customWidth="1"/>
    <col min="11" max="11" width="15.83203125" customWidth="1"/>
    <col min="12" max="12" width="22" customWidth="1"/>
    <col min="13" max="13" width="12.83203125" customWidth="1"/>
    <col min="14" max="26" width="10.5" customWidth="1"/>
  </cols>
  <sheetData>
    <row r="1" spans="2:12" ht="15.75" customHeight="1" x14ac:dyDescent="0.2">
      <c r="B1" s="6" t="s">
        <v>29</v>
      </c>
    </row>
    <row r="2" spans="2:12" ht="15.75" customHeight="1" x14ac:dyDescent="0.2">
      <c r="E2" s="66"/>
    </row>
    <row r="3" spans="2:12" ht="15.75" customHeight="1" x14ac:dyDescent="0.2">
      <c r="B3" s="28" t="s">
        <v>48</v>
      </c>
      <c r="E3" s="66"/>
      <c r="F3" s="29" t="s">
        <v>49</v>
      </c>
    </row>
    <row r="4" spans="2:12" ht="15.75" customHeight="1" x14ac:dyDescent="0.2">
      <c r="B4" s="30" t="s">
        <v>16</v>
      </c>
      <c r="C4" s="9" t="s">
        <v>50</v>
      </c>
      <c r="D4" s="31" t="s">
        <v>51</v>
      </c>
      <c r="E4" s="67"/>
      <c r="F4" s="9" t="s">
        <v>16</v>
      </c>
      <c r="G4" s="9" t="s">
        <v>45</v>
      </c>
    </row>
    <row r="5" spans="2:12" ht="15.75" customHeight="1" x14ac:dyDescent="0.2">
      <c r="B5" s="32" t="s">
        <v>52</v>
      </c>
      <c r="C5" s="16" t="s">
        <v>53</v>
      </c>
      <c r="D5" s="16">
        <v>0.09</v>
      </c>
      <c r="E5" s="66"/>
      <c r="F5" s="33" t="s">
        <v>54</v>
      </c>
      <c r="G5" s="16">
        <v>8000</v>
      </c>
    </row>
    <row r="6" spans="2:12" ht="15.75" customHeight="1" x14ac:dyDescent="0.2">
      <c r="B6" s="32" t="s">
        <v>55</v>
      </c>
      <c r="C6" s="16" t="s">
        <v>56</v>
      </c>
      <c r="D6" s="16">
        <v>58.6</v>
      </c>
      <c r="E6" s="66"/>
    </row>
    <row r="7" spans="2:12" ht="15.75" customHeight="1" x14ac:dyDescent="0.2">
      <c r="B7" s="32" t="s">
        <v>57</v>
      </c>
      <c r="C7" s="16" t="s">
        <v>58</v>
      </c>
      <c r="D7" s="16">
        <v>2.56</v>
      </c>
    </row>
    <row r="8" spans="2:12" ht="15.75" customHeight="1" x14ac:dyDescent="0.2">
      <c r="L8" s="68"/>
    </row>
    <row r="9" spans="2:12" ht="15.75" customHeight="1" x14ac:dyDescent="0.2">
      <c r="L9" s="70"/>
    </row>
    <row r="10" spans="2:12" ht="15.75" customHeight="1" x14ac:dyDescent="0.2">
      <c r="B10" s="29" t="s">
        <v>59</v>
      </c>
      <c r="E10" s="29"/>
      <c r="L10" s="68"/>
    </row>
    <row r="11" spans="2:12" ht="15.75" customHeight="1" x14ac:dyDescent="0.2">
      <c r="B11" s="34" t="s">
        <v>60</v>
      </c>
      <c r="C11" s="11" t="s">
        <v>61</v>
      </c>
      <c r="D11" s="11" t="s">
        <v>62</v>
      </c>
      <c r="E11" s="35" t="s">
        <v>63</v>
      </c>
      <c r="F11" s="11" t="s">
        <v>64</v>
      </c>
      <c r="G11" s="11" t="s">
        <v>65</v>
      </c>
      <c r="H11" s="11" t="s">
        <v>66</v>
      </c>
      <c r="I11" s="35" t="s">
        <v>67</v>
      </c>
      <c r="J11" s="35" t="s">
        <v>68</v>
      </c>
      <c r="K11" s="35" t="s">
        <v>69</v>
      </c>
      <c r="L11" s="9" t="s">
        <v>70</v>
      </c>
    </row>
    <row r="12" spans="2:12" ht="15.75" customHeight="1" x14ac:dyDescent="0.2">
      <c r="B12" s="16">
        <v>1</v>
      </c>
      <c r="C12" s="36">
        <f t="shared" ref="C12:C17" si="0">247.2*6.29*G$5</f>
        <v>12439104</v>
      </c>
      <c r="D12" s="36">
        <f t="shared" ref="D12:D17" si="1">14390/28.264*G$5</f>
        <v>4073025.7571469005</v>
      </c>
      <c r="E12" s="37">
        <f>'Power consumption'!C$10*G$5</f>
        <v>34998400</v>
      </c>
      <c r="F12" s="36">
        <f t="shared" ref="F12:F17" si="2">C12*D$6</f>
        <v>728931494.39999998</v>
      </c>
      <c r="G12" s="36">
        <f t="shared" ref="G12:G17" si="3">D12*D$7</f>
        <v>10426945.938296065</v>
      </c>
      <c r="H12" s="36">
        <f t="shared" ref="H12:H17" si="4">F12+G12</f>
        <v>739358440.33829606</v>
      </c>
      <c r="I12" s="38">
        <f t="shared" ref="I12:I17" si="5">E12*D$5</f>
        <v>3149856</v>
      </c>
      <c r="J12" s="39">
        <f>0.05*C$40</f>
        <v>14604423.149289517</v>
      </c>
      <c r="K12" s="38">
        <f t="shared" ref="K12:K17" si="6">I12+J12</f>
        <v>17754279.149289519</v>
      </c>
      <c r="L12" s="18">
        <f t="shared" ref="L12:L17" si="7">H12-K12</f>
        <v>721604161.18900657</v>
      </c>
    </row>
    <row r="13" spans="2:12" ht="15.75" customHeight="1" x14ac:dyDescent="0.2">
      <c r="B13" s="16">
        <v>2</v>
      </c>
      <c r="C13" s="36">
        <f t="shared" si="0"/>
        <v>12439104</v>
      </c>
      <c r="D13" s="36">
        <f t="shared" si="1"/>
        <v>4073025.7571469005</v>
      </c>
      <c r="E13" s="37">
        <f>'Power consumption'!C$10*G$5</f>
        <v>34998400</v>
      </c>
      <c r="F13" s="36">
        <f t="shared" si="2"/>
        <v>728931494.39999998</v>
      </c>
      <c r="G13" s="36">
        <f t="shared" si="3"/>
        <v>10426945.938296065</v>
      </c>
      <c r="H13" s="36">
        <f t="shared" si="4"/>
        <v>739358440.33829606</v>
      </c>
      <c r="I13" s="37">
        <f t="shared" si="5"/>
        <v>3149856</v>
      </c>
      <c r="J13" s="40">
        <f>0.05*C$40</f>
        <v>14604423.149289517</v>
      </c>
      <c r="K13" s="37">
        <f t="shared" si="6"/>
        <v>17754279.149289519</v>
      </c>
      <c r="L13" s="41">
        <f t="shared" si="7"/>
        <v>721604161.18900657</v>
      </c>
    </row>
    <row r="14" spans="2:12" ht="15.75" customHeight="1" x14ac:dyDescent="0.2">
      <c r="B14" s="16">
        <v>3</v>
      </c>
      <c r="C14" s="36">
        <f t="shared" si="0"/>
        <v>12439104</v>
      </c>
      <c r="D14" s="36">
        <f t="shared" si="1"/>
        <v>4073025.7571469005</v>
      </c>
      <c r="E14" s="37">
        <f>'Power consumption'!C$10*G$5</f>
        <v>34998400</v>
      </c>
      <c r="F14" s="36">
        <f t="shared" si="2"/>
        <v>728931494.39999998</v>
      </c>
      <c r="G14" s="36">
        <f t="shared" si="3"/>
        <v>10426945.938296065</v>
      </c>
      <c r="H14" s="36">
        <f t="shared" si="4"/>
        <v>739358440.33829606</v>
      </c>
      <c r="I14" s="37">
        <f t="shared" si="5"/>
        <v>3149856</v>
      </c>
      <c r="J14" s="40">
        <f>0.05*C$40</f>
        <v>14604423.149289517</v>
      </c>
      <c r="K14" s="37">
        <f t="shared" si="6"/>
        <v>17754279.149289519</v>
      </c>
      <c r="L14" s="41">
        <f t="shared" si="7"/>
        <v>721604161.18900657</v>
      </c>
    </row>
    <row r="15" spans="2:12" ht="15.75" customHeight="1" x14ac:dyDescent="0.2">
      <c r="B15" s="16">
        <v>4</v>
      </c>
      <c r="C15" s="36">
        <f t="shared" si="0"/>
        <v>12439104</v>
      </c>
      <c r="D15" s="36">
        <f t="shared" si="1"/>
        <v>4073025.7571469005</v>
      </c>
      <c r="E15" s="37">
        <f>'Power consumption'!C$10*G$5</f>
        <v>34998400</v>
      </c>
      <c r="F15" s="36">
        <f t="shared" si="2"/>
        <v>728931494.39999998</v>
      </c>
      <c r="G15" s="36">
        <f t="shared" si="3"/>
        <v>10426945.938296065</v>
      </c>
      <c r="H15" s="36">
        <f t="shared" si="4"/>
        <v>739358440.33829606</v>
      </c>
      <c r="I15" s="37">
        <f t="shared" si="5"/>
        <v>3149856</v>
      </c>
      <c r="J15" s="40">
        <f>0.05*C$40</f>
        <v>14604423.149289517</v>
      </c>
      <c r="K15" s="37">
        <f t="shared" si="6"/>
        <v>17754279.149289519</v>
      </c>
      <c r="L15" s="41">
        <f t="shared" si="7"/>
        <v>721604161.18900657</v>
      </c>
    </row>
    <row r="16" spans="2:12" ht="15.75" customHeight="1" x14ac:dyDescent="0.2">
      <c r="B16" s="16">
        <v>5</v>
      </c>
      <c r="C16" s="36">
        <f t="shared" si="0"/>
        <v>12439104</v>
      </c>
      <c r="D16" s="36">
        <f t="shared" si="1"/>
        <v>4073025.7571469005</v>
      </c>
      <c r="E16" s="37">
        <f>'Power consumption'!C$10*G$5</f>
        <v>34998400</v>
      </c>
      <c r="F16" s="36">
        <f t="shared" si="2"/>
        <v>728931494.39999998</v>
      </c>
      <c r="G16" s="36">
        <f t="shared" si="3"/>
        <v>10426945.938296065</v>
      </c>
      <c r="H16" s="36">
        <f t="shared" si="4"/>
        <v>739358440.33829606</v>
      </c>
      <c r="I16" s="37">
        <f t="shared" si="5"/>
        <v>3149856</v>
      </c>
      <c r="J16" s="40">
        <f>0.05*C$40</f>
        <v>14604423.149289517</v>
      </c>
      <c r="K16" s="37">
        <f t="shared" si="6"/>
        <v>17754279.149289519</v>
      </c>
      <c r="L16" s="41">
        <f t="shared" si="7"/>
        <v>721604161.18900657</v>
      </c>
    </row>
    <row r="17" spans="2:12" ht="15.75" customHeight="1" x14ac:dyDescent="0.2">
      <c r="B17" s="16">
        <v>6</v>
      </c>
      <c r="C17" s="36">
        <f t="shared" si="0"/>
        <v>12439104</v>
      </c>
      <c r="D17" s="36">
        <f t="shared" si="1"/>
        <v>4073025.7571469005</v>
      </c>
      <c r="E17" s="37">
        <f>'Power consumption'!C$10*G$5</f>
        <v>34998400</v>
      </c>
      <c r="F17" s="36">
        <f t="shared" si="2"/>
        <v>728931494.39999998</v>
      </c>
      <c r="G17" s="36">
        <f t="shared" si="3"/>
        <v>10426945.938296065</v>
      </c>
      <c r="H17" s="36">
        <f t="shared" si="4"/>
        <v>739358440.33829606</v>
      </c>
      <c r="I17" s="37">
        <f t="shared" si="5"/>
        <v>3149856</v>
      </c>
      <c r="J17" s="40">
        <f>0.05*C$40</f>
        <v>14604423.149289517</v>
      </c>
      <c r="K17" s="37">
        <f t="shared" si="6"/>
        <v>17754279.149289519</v>
      </c>
      <c r="L17" s="41">
        <f t="shared" si="7"/>
        <v>721604161.18900657</v>
      </c>
    </row>
    <row r="18" spans="2:12" ht="15.75" customHeight="1" x14ac:dyDescent="0.2">
      <c r="F18" s="70"/>
    </row>
    <row r="19" spans="2:12" ht="15.75" customHeight="1" x14ac:dyDescent="0.2">
      <c r="B19" s="29" t="s">
        <v>71</v>
      </c>
      <c r="E19" s="29"/>
      <c r="F19" s="68"/>
    </row>
    <row r="20" spans="2:12" ht="15.75" customHeight="1" x14ac:dyDescent="0.2">
      <c r="B20" s="34" t="s">
        <v>60</v>
      </c>
      <c r="C20" s="11" t="s">
        <v>61</v>
      </c>
      <c r="D20" s="11" t="s">
        <v>62</v>
      </c>
      <c r="E20" s="35" t="s">
        <v>63</v>
      </c>
      <c r="F20" s="11" t="s">
        <v>64</v>
      </c>
      <c r="G20" s="11" t="s">
        <v>65</v>
      </c>
      <c r="H20" s="11" t="s">
        <v>66</v>
      </c>
      <c r="I20" s="35" t="s">
        <v>67</v>
      </c>
      <c r="J20" s="35" t="s">
        <v>68</v>
      </c>
      <c r="K20" s="35" t="s">
        <v>69</v>
      </c>
      <c r="L20" s="9" t="s">
        <v>70</v>
      </c>
    </row>
    <row r="21" spans="2:12" ht="15.75" customHeight="1" x14ac:dyDescent="0.2">
      <c r="B21" s="16">
        <v>7</v>
      </c>
      <c r="C21" s="15">
        <f t="shared" ref="C21:C24" si="8">14.74*6.29*G$5</f>
        <v>741716.8</v>
      </c>
      <c r="D21" s="36">
        <f t="shared" ref="D21:D24" si="9">493.6/28.264*G$5</f>
        <v>139711.29351825645</v>
      </c>
      <c r="E21" s="37">
        <f>'Power consumption'!C$17*G$5</f>
        <v>30279360</v>
      </c>
      <c r="F21" s="36">
        <f t="shared" ref="F21:F24" si="10">C21*D$6</f>
        <v>43464604.480000004</v>
      </c>
      <c r="G21" s="36">
        <f t="shared" ref="G21:G24" si="11">D21*D$7</f>
        <v>357660.91140673653</v>
      </c>
      <c r="H21" s="36">
        <f t="shared" ref="H21:H24" si="12">F21+G21</f>
        <v>43822265.391406737</v>
      </c>
      <c r="I21" s="38">
        <f t="shared" ref="I21:I24" si="13">E21*D$5</f>
        <v>2725142.4</v>
      </c>
      <c r="J21" s="39">
        <f>0.05*C$40</f>
        <v>14604423.149289517</v>
      </c>
      <c r="K21" s="38">
        <f t="shared" ref="K21:K24" si="14">J21+I21</f>
        <v>17329565.549289517</v>
      </c>
      <c r="L21" s="18">
        <f t="shared" ref="L21:L24" si="15">H21-K21</f>
        <v>26492699.84211722</v>
      </c>
    </row>
    <row r="22" spans="2:12" ht="15.75" customHeight="1" x14ac:dyDescent="0.2">
      <c r="B22" s="16">
        <v>8</v>
      </c>
      <c r="C22" s="15">
        <f t="shared" si="8"/>
        <v>741716.8</v>
      </c>
      <c r="D22" s="36">
        <f t="shared" si="9"/>
        <v>139711.29351825645</v>
      </c>
      <c r="E22" s="37">
        <f>'Power consumption'!C$17*G$5</f>
        <v>30279360</v>
      </c>
      <c r="F22" s="36">
        <f t="shared" si="10"/>
        <v>43464604.480000004</v>
      </c>
      <c r="G22" s="36">
        <f t="shared" si="11"/>
        <v>357660.91140673653</v>
      </c>
      <c r="H22" s="36">
        <f t="shared" si="12"/>
        <v>43822265.391406737</v>
      </c>
      <c r="I22" s="37">
        <f t="shared" si="13"/>
        <v>2725142.4</v>
      </c>
      <c r="J22" s="40">
        <f>0.05*C$40</f>
        <v>14604423.149289517</v>
      </c>
      <c r="K22" s="37">
        <f t="shared" si="14"/>
        <v>17329565.549289517</v>
      </c>
      <c r="L22" s="41">
        <f t="shared" si="15"/>
        <v>26492699.84211722</v>
      </c>
    </row>
    <row r="23" spans="2:12" ht="15.75" customHeight="1" x14ac:dyDescent="0.2">
      <c r="B23" s="16">
        <v>9</v>
      </c>
      <c r="C23" s="15">
        <f t="shared" si="8"/>
        <v>741716.8</v>
      </c>
      <c r="D23" s="36">
        <f t="shared" si="9"/>
        <v>139711.29351825645</v>
      </c>
      <c r="E23" s="37">
        <f>'Power consumption'!C$17*G$5</f>
        <v>30279360</v>
      </c>
      <c r="F23" s="36">
        <f t="shared" si="10"/>
        <v>43464604.480000004</v>
      </c>
      <c r="G23" s="36">
        <f t="shared" si="11"/>
        <v>357660.91140673653</v>
      </c>
      <c r="H23" s="36">
        <f t="shared" si="12"/>
        <v>43822265.391406737</v>
      </c>
      <c r="I23" s="37">
        <f t="shared" si="13"/>
        <v>2725142.4</v>
      </c>
      <c r="J23" s="40">
        <f>0.05*C$40</f>
        <v>14604423.149289517</v>
      </c>
      <c r="K23" s="37">
        <f t="shared" si="14"/>
        <v>17329565.549289517</v>
      </c>
      <c r="L23" s="41">
        <f t="shared" si="15"/>
        <v>26492699.84211722</v>
      </c>
    </row>
    <row r="24" spans="2:12" ht="15.75" customHeight="1" x14ac:dyDescent="0.2">
      <c r="B24" s="16">
        <v>10</v>
      </c>
      <c r="C24" s="15">
        <f t="shared" si="8"/>
        <v>741716.8</v>
      </c>
      <c r="D24" s="36">
        <f t="shared" si="9"/>
        <v>139711.29351825645</v>
      </c>
      <c r="E24" s="37">
        <f>'Power consumption'!C$17*G$5</f>
        <v>30279360</v>
      </c>
      <c r="F24" s="36">
        <f t="shared" si="10"/>
        <v>43464604.480000004</v>
      </c>
      <c r="G24" s="36">
        <f t="shared" si="11"/>
        <v>357660.91140673653</v>
      </c>
      <c r="H24" s="36">
        <f t="shared" si="12"/>
        <v>43822265.391406737</v>
      </c>
      <c r="I24" s="37">
        <f t="shared" si="13"/>
        <v>2725142.4</v>
      </c>
      <c r="J24" s="40">
        <f>0.05*C$40</f>
        <v>14604423.149289517</v>
      </c>
      <c r="K24" s="37">
        <f t="shared" si="14"/>
        <v>17329565.549289517</v>
      </c>
      <c r="L24" s="41">
        <f t="shared" si="15"/>
        <v>26492699.84211722</v>
      </c>
    </row>
    <row r="25" spans="2:12" ht="15.75" customHeight="1" x14ac:dyDescent="0.2">
      <c r="F25" s="70"/>
      <c r="G25" s="70"/>
      <c r="H25" s="70"/>
      <c r="I25" s="70"/>
      <c r="J25" s="68"/>
    </row>
    <row r="26" spans="2:12" ht="15.75" customHeight="1" x14ac:dyDescent="0.2">
      <c r="D26" s="68"/>
      <c r="F26" s="70"/>
      <c r="G26" s="70"/>
      <c r="H26" s="70"/>
      <c r="I26" s="70"/>
      <c r="J26" s="68"/>
    </row>
    <row r="27" spans="2:12" ht="15.75" customHeight="1" x14ac:dyDescent="0.2">
      <c r="B27" s="28" t="s">
        <v>72</v>
      </c>
      <c r="D27" s="68"/>
      <c r="E27" s="29" t="s">
        <v>73</v>
      </c>
      <c r="F27" s="68"/>
      <c r="G27" s="68"/>
      <c r="H27" s="68"/>
      <c r="I27" s="68"/>
      <c r="J27" s="68"/>
    </row>
    <row r="28" spans="2:12" ht="15.75" customHeight="1" x14ac:dyDescent="0.2">
      <c r="B28" s="9" t="s">
        <v>74</v>
      </c>
      <c r="C28" s="9" t="s">
        <v>75</v>
      </c>
      <c r="D28" s="69"/>
      <c r="E28" s="16" t="s">
        <v>76</v>
      </c>
      <c r="F28" s="42"/>
    </row>
    <row r="29" spans="2:12" ht="15.75" customHeight="1" x14ac:dyDescent="0.2">
      <c r="B29" s="16" t="s">
        <v>77</v>
      </c>
      <c r="C29" s="14">
        <f>'Flowlines and risers'!H18</f>
        <v>164926888.99782136</v>
      </c>
      <c r="D29" s="68"/>
      <c r="E29" s="16" t="s">
        <v>78</v>
      </c>
      <c r="F29" s="42"/>
    </row>
    <row r="30" spans="2:12" ht="15.75" customHeight="1" x14ac:dyDescent="0.2">
      <c r="B30" s="16" t="s">
        <v>79</v>
      </c>
      <c r="C30" s="14">
        <f>Umbilicals!D14</f>
        <v>18893378.519290928</v>
      </c>
      <c r="D30" s="68"/>
      <c r="E30" s="43" t="s">
        <v>80</v>
      </c>
      <c r="F30" s="44">
        <f>1000000000</f>
        <v>1000000000</v>
      </c>
    </row>
    <row r="31" spans="2:12" ht="15.75" customHeight="1" x14ac:dyDescent="0.2">
      <c r="B31" s="16" t="s">
        <v>81</v>
      </c>
      <c r="C31" s="14">
        <f>Umbilicals!D8</f>
        <v>65279723.779023208</v>
      </c>
      <c r="D31" s="68"/>
    </row>
    <row r="32" spans="2:12" ht="15.75" customHeight="1" x14ac:dyDescent="0.2">
      <c r="B32" s="16" t="s">
        <v>84</v>
      </c>
      <c r="C32" s="22">
        <f>Pumps!I64</f>
        <v>32000000</v>
      </c>
    </row>
    <row r="33" spans="2:3" ht="15.75" customHeight="1" x14ac:dyDescent="0.2">
      <c r="B33" s="16" t="s">
        <v>85</v>
      </c>
      <c r="C33" s="22">
        <f>Pumps!I69</f>
        <v>10000000</v>
      </c>
    </row>
    <row r="34" spans="2:3" ht="15.75" customHeight="1" x14ac:dyDescent="0.2">
      <c r="B34" s="16" t="s">
        <v>86</v>
      </c>
      <c r="C34" s="22">
        <f>Pumps!I74</f>
        <v>418488.76973315113</v>
      </c>
    </row>
    <row r="35" spans="2:3" ht="15.75" customHeight="1" x14ac:dyDescent="0.2">
      <c r="B35" s="16" t="s">
        <v>87</v>
      </c>
      <c r="C35" s="22">
        <f>Pumps!I79</f>
        <v>155143.17509118724</v>
      </c>
    </row>
    <row r="36" spans="2:3" ht="15.75" customHeight="1" x14ac:dyDescent="0.2">
      <c r="B36" s="16" t="s">
        <v>88</v>
      </c>
      <c r="C36" s="16">
        <f>Separators!D49</f>
        <v>63359.622290065745</v>
      </c>
    </row>
    <row r="37" spans="2:3" ht="15.75" customHeight="1" x14ac:dyDescent="0.2">
      <c r="B37" s="16" t="s">
        <v>89</v>
      </c>
      <c r="C37" s="22">
        <f>Hydrocyclone!F11</f>
        <v>351480.1225404407</v>
      </c>
    </row>
    <row r="38" spans="2:3" ht="15.75" customHeight="1" x14ac:dyDescent="0.2">
      <c r="B38" s="16" t="s">
        <v>82</v>
      </c>
      <c r="C38" s="16">
        <f>Separators!D35</f>
        <v>675795.27302039217</v>
      </c>
    </row>
    <row r="39" spans="2:3" ht="15.75" customHeight="1" x14ac:dyDescent="0.2">
      <c r="B39" s="16" t="s">
        <v>83</v>
      </c>
      <c r="C39" s="22">
        <f>Separators!D14</f>
        <v>462182.71489791531</v>
      </c>
    </row>
    <row r="40" spans="2:3" ht="15.75" customHeight="1" x14ac:dyDescent="0.2">
      <c r="B40" s="43" t="s">
        <v>90</v>
      </c>
      <c r="C40" s="45">
        <f>SUM(C29:C37)</f>
        <v>292088462.98579031</v>
      </c>
    </row>
    <row r="41" spans="2:3" ht="15.75" customHeight="1" x14ac:dyDescent="0.2"/>
    <row r="42" spans="2:3" ht="15.75" customHeight="1" x14ac:dyDescent="0.2">
      <c r="B42" s="46" t="s">
        <v>91</v>
      </c>
      <c r="C42" s="47">
        <f>C40+F30</f>
        <v>1292088462.9857903</v>
      </c>
    </row>
    <row r="43" spans="2:3" ht="15.75" customHeight="1" x14ac:dyDescent="0.2"/>
    <row r="44" spans="2:3" ht="15.75" customHeight="1" x14ac:dyDescent="0.2"/>
    <row r="45" spans="2:3" ht="15.75" customHeight="1" x14ac:dyDescent="0.2"/>
    <row r="46" spans="2:3" ht="15.75" customHeight="1" x14ac:dyDescent="0.2"/>
    <row r="47" spans="2:3" ht="15.75" customHeight="1" x14ac:dyDescent="0.2"/>
    <row r="48" spans="2:3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.3" footer="0.3"/>
  <pageSetup paperSize="9"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09"/>
  <sheetViews>
    <sheetView topLeftCell="A46" workbookViewId="0">
      <selection activeCell="F55" sqref="F55"/>
    </sheetView>
  </sheetViews>
  <sheetFormatPr baseColWidth="10" defaultColWidth="13.5" defaultRowHeight="15" customHeight="1" x14ac:dyDescent="0.2"/>
  <cols>
    <col min="2" max="2" width="21.1640625" customWidth="1"/>
    <col min="3" max="3" width="31.5" customWidth="1"/>
    <col min="4" max="4" width="26" customWidth="1"/>
    <col min="5" max="5" width="24.1640625" customWidth="1"/>
    <col min="6" max="6" width="18.33203125" customWidth="1"/>
    <col min="7" max="7" width="17.1640625" customWidth="1"/>
    <col min="8" max="8" width="15.5" customWidth="1"/>
  </cols>
  <sheetData>
    <row r="3" spans="1:6" x14ac:dyDescent="0.2">
      <c r="B3" s="29" t="s">
        <v>29</v>
      </c>
    </row>
    <row r="4" spans="1:6" ht="15" customHeight="1" x14ac:dyDescent="0.2">
      <c r="D4" s="68"/>
      <c r="E4" s="68"/>
      <c r="F4" s="68"/>
    </row>
    <row r="5" spans="1:6" ht="15" customHeight="1" x14ac:dyDescent="0.2">
      <c r="B5" s="29" t="s">
        <v>92</v>
      </c>
      <c r="D5" s="68"/>
      <c r="E5" s="68"/>
      <c r="F5" s="68"/>
    </row>
    <row r="6" spans="1:6" x14ac:dyDescent="0.2">
      <c r="B6" s="7" t="s">
        <v>0</v>
      </c>
      <c r="D6" s="68"/>
      <c r="E6" s="69"/>
      <c r="F6" s="68"/>
    </row>
    <row r="7" spans="1:6" x14ac:dyDescent="0.2">
      <c r="B7" s="9" t="s">
        <v>93</v>
      </c>
      <c r="C7" s="9" t="s">
        <v>94</v>
      </c>
      <c r="D7" s="69"/>
      <c r="E7" s="69"/>
      <c r="F7" s="68"/>
    </row>
    <row r="8" spans="1:6" x14ac:dyDescent="0.2">
      <c r="B8" s="16">
        <v>0.1</v>
      </c>
      <c r="C8" s="16">
        <v>0.35</v>
      </c>
      <c r="D8" s="69"/>
      <c r="E8" s="68"/>
      <c r="F8" s="68"/>
    </row>
    <row r="9" spans="1:6" x14ac:dyDescent="0.2">
      <c r="A9" s="5"/>
      <c r="D9" s="68"/>
      <c r="E9" s="68"/>
      <c r="F9" s="68"/>
    </row>
    <row r="10" spans="1:6" x14ac:dyDescent="0.2">
      <c r="B10" s="7" t="s">
        <v>92</v>
      </c>
      <c r="E10" s="68"/>
      <c r="F10" s="68"/>
    </row>
    <row r="11" spans="1:6" x14ac:dyDescent="0.2">
      <c r="B11" s="9" t="s">
        <v>60</v>
      </c>
      <c r="C11" s="9" t="s">
        <v>95</v>
      </c>
      <c r="D11" s="9" t="s">
        <v>96</v>
      </c>
      <c r="E11" s="69"/>
      <c r="F11" s="70"/>
    </row>
    <row r="12" spans="1:6" ht="15" customHeight="1" x14ac:dyDescent="0.2">
      <c r="B12" s="16">
        <v>0</v>
      </c>
      <c r="C12" s="22">
        <f>-'Full cost calculation'!C42/1000000</f>
        <v>-1292.0884629857903</v>
      </c>
      <c r="D12" s="22">
        <f>C12</f>
        <v>-1292.0884629857903</v>
      </c>
      <c r="E12" s="68"/>
      <c r="F12" s="68"/>
    </row>
    <row r="13" spans="1:6" x14ac:dyDescent="0.2">
      <c r="B13" s="16">
        <v>1</v>
      </c>
      <c r="C13" s="22">
        <f>'Full cost calculation'!L12/(1+B8)/1000000</f>
        <v>656.00378289909679</v>
      </c>
      <c r="D13" s="22">
        <f>C12+C13</f>
        <v>-636.08468008669354</v>
      </c>
    </row>
    <row r="14" spans="1:6" x14ac:dyDescent="0.2">
      <c r="B14" s="16">
        <v>2</v>
      </c>
      <c r="C14" s="22">
        <f>'Full cost calculation'!L13/(1+B8)^B14/1000000</f>
        <v>596.36707536281529</v>
      </c>
      <c r="D14" s="22">
        <f t="shared" ref="D14:D22" si="0">D13+C14</f>
        <v>-39.717604723878253</v>
      </c>
    </row>
    <row r="15" spans="1:6" x14ac:dyDescent="0.2">
      <c r="B15" s="16">
        <v>3</v>
      </c>
      <c r="C15" s="22">
        <f>'Full cost calculation'!L14/(1+B8)^B15/1000000</f>
        <v>542.15188669346833</v>
      </c>
      <c r="D15" s="22">
        <f t="shared" si="0"/>
        <v>502.43428196959007</v>
      </c>
    </row>
    <row r="16" spans="1:6" x14ac:dyDescent="0.2">
      <c r="B16" s="16">
        <v>4</v>
      </c>
      <c r="C16" s="22">
        <f>'Full cost calculation'!L15/(1+B8)^B16/1000000</f>
        <v>492.86535153951667</v>
      </c>
      <c r="D16" s="22">
        <f t="shared" si="0"/>
        <v>995.2996335091068</v>
      </c>
    </row>
    <row r="17" spans="2:11" x14ac:dyDescent="0.2">
      <c r="B17" s="16">
        <v>5</v>
      </c>
      <c r="C17" s="22">
        <f>'Full cost calculation'!L16/(1+B8)^B17/1000000</f>
        <v>448.0594104904697</v>
      </c>
      <c r="D17" s="22">
        <f t="shared" si="0"/>
        <v>1443.3590439995764</v>
      </c>
      <c r="K17" s="5"/>
    </row>
    <row r="18" spans="2:11" x14ac:dyDescent="0.2">
      <c r="B18" s="16">
        <v>6</v>
      </c>
      <c r="C18" s="22">
        <f>'Full cost calculation'!L17/(1+B8)^B18/1000000</f>
        <v>407.32673680951785</v>
      </c>
      <c r="D18" s="22">
        <f t="shared" si="0"/>
        <v>1850.6857808090942</v>
      </c>
    </row>
    <row r="19" spans="2:11" x14ac:dyDescent="0.2">
      <c r="B19" s="16">
        <v>7</v>
      </c>
      <c r="C19" s="22">
        <f>'Full cost calculation'!L21/(1+B8)^B19/1000000</f>
        <v>13.594943997831807</v>
      </c>
      <c r="D19" s="22">
        <f t="shared" si="0"/>
        <v>1864.2807248069259</v>
      </c>
    </row>
    <row r="20" spans="2:11" x14ac:dyDescent="0.2">
      <c r="B20" s="16">
        <v>8</v>
      </c>
      <c r="C20" s="22">
        <f>'Full cost calculation'!L22/(1+B8)^B20/1000000</f>
        <v>12.359039998028916</v>
      </c>
      <c r="D20" s="22">
        <f t="shared" si="0"/>
        <v>1876.6397648049549</v>
      </c>
    </row>
    <row r="21" spans="2:11" x14ac:dyDescent="0.2">
      <c r="B21" s="16">
        <v>9</v>
      </c>
      <c r="C21" s="22">
        <f>'Full cost calculation'!L23/(1+B8)^B21/1000000</f>
        <v>11.235490907299013</v>
      </c>
      <c r="D21" s="22">
        <f t="shared" si="0"/>
        <v>1887.8752557122539</v>
      </c>
    </row>
    <row r="22" spans="2:11" x14ac:dyDescent="0.2">
      <c r="B22" s="16">
        <v>10</v>
      </c>
      <c r="C22" s="22">
        <f>'Full cost calculation'!L24/(1+B8)^B22/1000000</f>
        <v>10.214082642999102</v>
      </c>
      <c r="D22" s="41">
        <f t="shared" si="0"/>
        <v>1898.0893383552529</v>
      </c>
    </row>
    <row r="25" spans="2:11" x14ac:dyDescent="0.2">
      <c r="B25" s="29" t="s">
        <v>97</v>
      </c>
    </row>
    <row r="26" spans="2:11" ht="15" customHeight="1" x14ac:dyDescent="0.2">
      <c r="B26" s="7" t="s">
        <v>98</v>
      </c>
    </row>
    <row r="27" spans="2:11" ht="15" customHeight="1" x14ac:dyDescent="0.2">
      <c r="B27" s="9" t="s">
        <v>99</v>
      </c>
      <c r="C27" s="9" t="s">
        <v>100</v>
      </c>
      <c r="D27" s="9" t="s">
        <v>101</v>
      </c>
    </row>
    <row r="28" spans="2:11" ht="15" customHeight="1" x14ac:dyDescent="0.2">
      <c r="B28" s="14">
        <f>'Full cost calculation'!C42</f>
        <v>1292088462.9857903</v>
      </c>
      <c r="C28" s="22">
        <f>(0.6*'Full cost calculation'!L12*0.65+0.4*0.65*'Full cost calculation'!L21)</f>
        <v>288313724.82266301</v>
      </c>
      <c r="D28" s="41">
        <f>C28/B28*100</f>
        <v>22.313775958994363</v>
      </c>
    </row>
    <row r="31" spans="2:11" x14ac:dyDescent="0.2">
      <c r="B31" s="29" t="s">
        <v>102</v>
      </c>
      <c r="C31" s="68"/>
      <c r="D31" s="68"/>
    </row>
    <row r="32" spans="2:11" x14ac:dyDescent="0.2">
      <c r="B32" s="7" t="s">
        <v>0</v>
      </c>
      <c r="C32" s="70"/>
      <c r="D32" s="68"/>
    </row>
    <row r="33" spans="2:4" ht="15" customHeight="1" x14ac:dyDescent="0.2">
      <c r="B33" s="9" t="s">
        <v>103</v>
      </c>
      <c r="C33" s="69"/>
      <c r="D33" s="69"/>
    </row>
    <row r="34" spans="2:4" ht="15" customHeight="1" x14ac:dyDescent="0.2">
      <c r="B34" s="17">
        <v>0.51276983499999995</v>
      </c>
      <c r="C34" s="69"/>
      <c r="D34" s="69"/>
    </row>
    <row r="35" spans="2:4" x14ac:dyDescent="0.2">
      <c r="C35" s="68"/>
      <c r="D35" s="68"/>
    </row>
    <row r="36" spans="2:4" x14ac:dyDescent="0.2">
      <c r="B36" s="7" t="s">
        <v>104</v>
      </c>
    </row>
    <row r="37" spans="2:4" x14ac:dyDescent="0.2">
      <c r="B37" s="9" t="s">
        <v>60</v>
      </c>
      <c r="C37" s="9" t="s">
        <v>95</v>
      </c>
      <c r="D37" s="9" t="s">
        <v>96</v>
      </c>
    </row>
    <row r="38" spans="2:4" x14ac:dyDescent="0.2">
      <c r="B38" s="16">
        <v>0</v>
      </c>
      <c r="C38" s="22">
        <f>-'Full cost calculation'!C42/1000000</f>
        <v>-1292.0884629857903</v>
      </c>
      <c r="D38" s="22">
        <f>C38</f>
        <v>-1292.0884629857903</v>
      </c>
    </row>
    <row r="39" spans="2:4" ht="15" customHeight="1" x14ac:dyDescent="0.2">
      <c r="B39" s="16">
        <v>1</v>
      </c>
      <c r="C39" s="22">
        <f>'Full cost calculation'!L12/(1+B$34)^B39/1000000</f>
        <v>477.00856038619162</v>
      </c>
      <c r="D39" s="22">
        <f>C38+C39</f>
        <v>-815.07990259959865</v>
      </c>
    </row>
    <row r="40" spans="2:4" x14ac:dyDescent="0.2">
      <c r="B40" s="16">
        <v>2</v>
      </c>
      <c r="C40" s="22">
        <f>'Full cost calculation'!L13/(1+B$34)^B40/1000000</f>
        <v>315.3213062224973</v>
      </c>
      <c r="D40" s="22">
        <f t="shared" ref="D40:D48" si="1">D39+C40</f>
        <v>-499.75859637710136</v>
      </c>
    </row>
    <row r="41" spans="2:4" x14ac:dyDescent="0.2">
      <c r="B41" s="16">
        <v>3</v>
      </c>
      <c r="C41" s="22">
        <f>'Full cost calculation'!L14/(1+B$34)^B41/1000000</f>
        <v>208.43971034264925</v>
      </c>
      <c r="D41" s="22">
        <f t="shared" si="1"/>
        <v>-291.31888603445213</v>
      </c>
    </row>
    <row r="42" spans="2:4" x14ac:dyDescent="0.2">
      <c r="B42" s="16">
        <v>4</v>
      </c>
      <c r="C42" s="22">
        <f>'Full cost calculation'!L15/(1+B$34)^B42/1000000</f>
        <v>137.78679711884209</v>
      </c>
      <c r="D42" s="22">
        <f t="shared" si="1"/>
        <v>-153.53208891561005</v>
      </c>
    </row>
    <row r="43" spans="2:4" x14ac:dyDescent="0.2">
      <c r="B43" s="16">
        <v>5</v>
      </c>
      <c r="C43" s="22">
        <f>'Full cost calculation'!L16/(1+B$34)^B43/1000000</f>
        <v>91.082459427043062</v>
      </c>
      <c r="D43" s="22">
        <f t="shared" si="1"/>
        <v>-62.449629488566984</v>
      </c>
    </row>
    <row r="44" spans="2:4" x14ac:dyDescent="0.2">
      <c r="B44" s="16">
        <v>6</v>
      </c>
      <c r="C44" s="22">
        <f>'Full cost calculation'!L17/(1+B$34)^B44/1000000</f>
        <v>60.209066389166246</v>
      </c>
      <c r="D44" s="22">
        <f t="shared" si="1"/>
        <v>-2.2405630994007382</v>
      </c>
    </row>
    <row r="45" spans="2:4" x14ac:dyDescent="0.2">
      <c r="B45" s="16">
        <v>7</v>
      </c>
      <c r="C45" s="22">
        <f>'Full cost calculation'!L21/(1+B$34)^B45/1000000</f>
        <v>1.4612220836180008</v>
      </c>
      <c r="D45" s="22">
        <f t="shared" si="1"/>
        <v>-0.7793410157827374</v>
      </c>
    </row>
    <row r="46" spans="2:4" x14ac:dyDescent="0.2">
      <c r="B46" s="16">
        <v>8</v>
      </c>
      <c r="C46" s="22">
        <f>'Full cost calculation'!L22/(1+B$34)^B46/1000000</f>
        <v>0.96592492116819673</v>
      </c>
      <c r="D46" s="22">
        <f t="shared" si="1"/>
        <v>0.18658390538545933</v>
      </c>
    </row>
    <row r="47" spans="2:4" x14ac:dyDescent="0.2">
      <c r="B47" s="16">
        <v>9</v>
      </c>
      <c r="C47" s="22">
        <f>'Full cost calculation'!L23/(1+B$34)^B47/1000000</f>
        <v>0.63851413402105328</v>
      </c>
      <c r="D47" s="22">
        <f t="shared" si="1"/>
        <v>0.82509803940651261</v>
      </c>
    </row>
    <row r="48" spans="2:4" x14ac:dyDescent="0.2">
      <c r="B48" s="16">
        <v>10</v>
      </c>
      <c r="C48" s="22">
        <f>'Full cost calculation'!L24/(1+B$34)^B48/1000000</f>
        <v>0.42208280417030752</v>
      </c>
      <c r="D48" s="41">
        <f t="shared" si="1"/>
        <v>1.2471808435768201</v>
      </c>
    </row>
    <row r="51" spans="2:4" x14ac:dyDescent="0.2">
      <c r="B51" s="29" t="s">
        <v>105</v>
      </c>
    </row>
    <row r="53" spans="2:4" ht="15" customHeight="1" x14ac:dyDescent="0.2">
      <c r="B53" s="9" t="s">
        <v>60</v>
      </c>
      <c r="C53" s="9" t="s">
        <v>106</v>
      </c>
      <c r="D53" s="9" t="s">
        <v>96</v>
      </c>
    </row>
    <row r="54" spans="2:4" ht="15" customHeight="1" x14ac:dyDescent="0.2">
      <c r="B54" s="16">
        <v>0</v>
      </c>
      <c r="C54" s="22">
        <f>C12</f>
        <v>-1292.0884629857903</v>
      </c>
      <c r="D54" s="22">
        <f>C54</f>
        <v>-1292.0884629857903</v>
      </c>
    </row>
    <row r="55" spans="2:4" x14ac:dyDescent="0.2">
      <c r="B55" s="16">
        <v>1</v>
      </c>
      <c r="C55" s="22">
        <f>(1-0.35)*C13</f>
        <v>426.40245888441291</v>
      </c>
      <c r="D55" s="22">
        <f>C54+C55</f>
        <v>-865.68600410137742</v>
      </c>
    </row>
    <row r="56" spans="2:4" ht="15" customHeight="1" x14ac:dyDescent="0.2">
      <c r="B56" s="16">
        <v>2</v>
      </c>
      <c r="C56" s="22">
        <f>(1-0.35)*C14</f>
        <v>387.63859898582996</v>
      </c>
      <c r="D56" s="22">
        <f t="shared" ref="D56:D64" si="2">D55+C56</f>
        <v>-478.04740511554746</v>
      </c>
    </row>
    <row r="57" spans="2:4" x14ac:dyDescent="0.2">
      <c r="B57" s="16">
        <v>3</v>
      </c>
      <c r="C57" s="22">
        <f>(1-0.35)*C15</f>
        <v>352.39872635075443</v>
      </c>
      <c r="D57" s="22">
        <f t="shared" si="2"/>
        <v>-125.64867876479303</v>
      </c>
    </row>
    <row r="58" spans="2:4" x14ac:dyDescent="0.2">
      <c r="B58" s="16">
        <v>4</v>
      </c>
      <c r="C58" s="22">
        <f>(1-0.35)*C16</f>
        <v>320.36247850068582</v>
      </c>
      <c r="D58" s="22">
        <f t="shared" si="2"/>
        <v>194.71379973589279</v>
      </c>
    </row>
    <row r="59" spans="2:4" x14ac:dyDescent="0.2">
      <c r="B59" s="16">
        <v>5</v>
      </c>
      <c r="C59" s="22">
        <f>(1-0.35)*C17</f>
        <v>291.23861681880533</v>
      </c>
      <c r="D59" s="22">
        <f t="shared" si="2"/>
        <v>485.95241655469812</v>
      </c>
    </row>
    <row r="60" spans="2:4" x14ac:dyDescent="0.2">
      <c r="B60" s="16">
        <v>6</v>
      </c>
      <c r="C60" s="22">
        <f>(1-0.35)*C18</f>
        <v>264.76237892618661</v>
      </c>
      <c r="D60" s="22">
        <f t="shared" si="2"/>
        <v>750.71479548088473</v>
      </c>
    </row>
    <row r="61" spans="2:4" x14ac:dyDescent="0.2">
      <c r="B61" s="16">
        <v>7</v>
      </c>
      <c r="C61" s="22">
        <f>(1-0.35)*C19</f>
        <v>8.8367135985906753</v>
      </c>
      <c r="D61" s="22">
        <f t="shared" si="2"/>
        <v>759.55150907947541</v>
      </c>
    </row>
    <row r="62" spans="2:4" x14ac:dyDescent="0.2">
      <c r="B62" s="16">
        <v>8</v>
      </c>
      <c r="C62" s="22">
        <f>(1-0.35)*C20</f>
        <v>8.033375998718796</v>
      </c>
      <c r="D62" s="22">
        <f t="shared" si="2"/>
        <v>767.58488507819425</v>
      </c>
    </row>
    <row r="63" spans="2:4" x14ac:dyDescent="0.2">
      <c r="B63" s="16">
        <v>9</v>
      </c>
      <c r="C63" s="22">
        <f>(1-0.35)*C21</f>
        <v>7.3030690897443584</v>
      </c>
      <c r="D63" s="22">
        <f t="shared" si="2"/>
        <v>774.88795416793857</v>
      </c>
    </row>
    <row r="64" spans="2:4" x14ac:dyDescent="0.2">
      <c r="B64" s="16">
        <v>10</v>
      </c>
      <c r="C64" s="22">
        <f>(1-0.35)*C22</f>
        <v>6.6391537179494167</v>
      </c>
      <c r="D64" s="41">
        <f t="shared" si="2"/>
        <v>781.52710788588797</v>
      </c>
    </row>
    <row r="68" spans="2:6" x14ac:dyDescent="0.2">
      <c r="B68" s="29" t="s">
        <v>107</v>
      </c>
    </row>
    <row r="69" spans="2:6" ht="15" customHeight="1" x14ac:dyDescent="0.2">
      <c r="B69" s="7" t="s">
        <v>98</v>
      </c>
    </row>
    <row r="70" spans="2:6" ht="15" customHeight="1" x14ac:dyDescent="0.2">
      <c r="B70" s="9" t="s">
        <v>108</v>
      </c>
      <c r="C70" s="9" t="s">
        <v>109</v>
      </c>
      <c r="D70" s="9" t="s">
        <v>110</v>
      </c>
      <c r="E70" s="9" t="s">
        <v>232</v>
      </c>
    </row>
    <row r="71" spans="2:6" ht="15" customHeight="1" x14ac:dyDescent="0.2">
      <c r="B71" s="22">
        <f>B57</f>
        <v>3</v>
      </c>
      <c r="C71" s="42">
        <f>ABS(D57)</f>
        <v>125.64867876479303</v>
      </c>
      <c r="D71" s="14">
        <f>D58</f>
        <v>194.71379973589279</v>
      </c>
      <c r="E71" s="41">
        <f>B71+C71/D71</f>
        <v>3.6452993004872853</v>
      </c>
    </row>
    <row r="75" spans="2:6" x14ac:dyDescent="0.2">
      <c r="B75" s="29" t="s">
        <v>111</v>
      </c>
    </row>
    <row r="76" spans="2:6" ht="15" customHeight="1" x14ac:dyDescent="0.2">
      <c r="B76" s="7" t="s">
        <v>112</v>
      </c>
    </row>
    <row r="77" spans="2:6" ht="15" customHeight="1" x14ac:dyDescent="0.2">
      <c r="B77" s="48"/>
      <c r="C77" s="43" t="s">
        <v>113</v>
      </c>
      <c r="D77" s="43" t="s">
        <v>114</v>
      </c>
      <c r="E77" s="43" t="s">
        <v>115</v>
      </c>
      <c r="F77" s="48"/>
    </row>
    <row r="78" spans="2:6" ht="15" customHeight="1" x14ac:dyDescent="0.2">
      <c r="B78" s="9" t="s">
        <v>116</v>
      </c>
      <c r="C78" s="9" t="s">
        <v>117</v>
      </c>
      <c r="D78" s="9" t="s">
        <v>118</v>
      </c>
      <c r="E78" s="9" t="s">
        <v>119</v>
      </c>
      <c r="F78" s="9" t="s">
        <v>120</v>
      </c>
    </row>
    <row r="79" spans="2:6" ht="15" customHeight="1" x14ac:dyDescent="0.2">
      <c r="B79" s="16">
        <v>-70</v>
      </c>
      <c r="C79" s="16">
        <f>C$86+C$86*B79/100</f>
        <v>17.579999999999998</v>
      </c>
      <c r="D79" s="22">
        <f>D86-0.7*D86</f>
        <v>387967932.30000007</v>
      </c>
      <c r="E79" s="22">
        <f>E$86*(1+B79/100)</f>
        <v>5343353.415000001</v>
      </c>
      <c r="F79" s="22">
        <f>F$86*(1+B79/100)</f>
        <v>5215939.3350000009</v>
      </c>
    </row>
    <row r="80" spans="2:6" ht="15" customHeight="1" x14ac:dyDescent="0.2">
      <c r="B80" s="16">
        <v>-60</v>
      </c>
      <c r="C80" s="16">
        <f>C$86+C$86*B80/100</f>
        <v>23.440000000000005</v>
      </c>
      <c r="D80" s="22">
        <f>D86-D86*0.6</f>
        <v>517290576.39999998</v>
      </c>
      <c r="E80" s="22">
        <f>E$86*(1+B80/100)</f>
        <v>7124471.2200000007</v>
      </c>
      <c r="F80" s="22">
        <f>F$86*(1+B80/100)</f>
        <v>6954585.7800000003</v>
      </c>
    </row>
    <row r="81" spans="2:6" ht="15" customHeight="1" x14ac:dyDescent="0.2">
      <c r="B81" s="16">
        <v>-50</v>
      </c>
      <c r="C81" s="16">
        <f>C$86+C$86*B81/100</f>
        <v>29.3</v>
      </c>
      <c r="D81" s="22">
        <f>D86-0.5*D86</f>
        <v>646613220.5</v>
      </c>
      <c r="E81" s="22">
        <f>E$86*(1+B81/100)</f>
        <v>8905589.0250000004</v>
      </c>
      <c r="F81" s="22">
        <f>F$86*(1+B81/100)</f>
        <v>8693232.2249999996</v>
      </c>
    </row>
    <row r="82" spans="2:6" ht="15" customHeight="1" x14ac:dyDescent="0.2">
      <c r="B82" s="16">
        <v>-40</v>
      </c>
      <c r="C82" s="16">
        <f>C$86+C$86*B82/100</f>
        <v>35.159999999999997</v>
      </c>
      <c r="D82" s="22">
        <f>D86-0.4*D86</f>
        <v>775935864.5999999</v>
      </c>
      <c r="E82" s="22">
        <f>E$86*(1+B82/100)</f>
        <v>10686706.83</v>
      </c>
      <c r="F82" s="22">
        <f>F$86*(1+B82/100)</f>
        <v>10431878.67</v>
      </c>
    </row>
    <row r="83" spans="2:6" x14ac:dyDescent="0.2">
      <c r="B83" s="16">
        <v>-30</v>
      </c>
      <c r="C83" s="16">
        <f>C$86+C$86*B83/100</f>
        <v>41.02</v>
      </c>
      <c r="D83" s="22">
        <f>D86-0.3*D86</f>
        <v>905258508.70000005</v>
      </c>
      <c r="E83" s="22">
        <f>E$86*(1+B83/100)</f>
        <v>12467824.635</v>
      </c>
      <c r="F83" s="22">
        <f>F$86*(1+B83/100)</f>
        <v>12170525.114999998</v>
      </c>
    </row>
    <row r="84" spans="2:6" x14ac:dyDescent="0.2">
      <c r="B84" s="16">
        <v>-20</v>
      </c>
      <c r="C84" s="16">
        <f>C$86+C$86*B84/100</f>
        <v>46.88</v>
      </c>
      <c r="D84" s="16">
        <f>D86-0.2*D86</f>
        <v>1034581152.8</v>
      </c>
      <c r="E84" s="22">
        <f>E$86*(1+B84/100)</f>
        <v>14248942.440000001</v>
      </c>
      <c r="F84" s="22">
        <f>F$86*(1+B84/100)</f>
        <v>13909171.560000001</v>
      </c>
    </row>
    <row r="85" spans="2:6" x14ac:dyDescent="0.2">
      <c r="B85" s="16">
        <v>-10</v>
      </c>
      <c r="C85" s="16">
        <f>C$86*(1+B85/100)</f>
        <v>52.74</v>
      </c>
      <c r="D85" s="22">
        <f>D86-0.1*D86</f>
        <v>1163903796.9000001</v>
      </c>
      <c r="E85" s="22">
        <f>E$86*(1+B85/100)</f>
        <v>16030060.245000001</v>
      </c>
      <c r="F85" s="22">
        <f>F$86*(1+B85/100)</f>
        <v>15647818.004999999</v>
      </c>
    </row>
    <row r="86" spans="2:6" x14ac:dyDescent="0.2">
      <c r="B86" s="72">
        <v>0</v>
      </c>
      <c r="C86" s="72">
        <v>58.6</v>
      </c>
      <c r="D86" s="72">
        <v>1293226441</v>
      </c>
      <c r="E86" s="72">
        <v>17811178.050000001</v>
      </c>
      <c r="F86" s="72">
        <v>17386464.449999999</v>
      </c>
    </row>
    <row r="87" spans="2:6" x14ac:dyDescent="0.2">
      <c r="B87" s="16">
        <v>10</v>
      </c>
      <c r="C87" s="16">
        <f>C$86+C$86*B87/100</f>
        <v>64.460000000000008</v>
      </c>
      <c r="D87" s="22">
        <f>D86+0.1*D86</f>
        <v>1422549085.0999999</v>
      </c>
      <c r="E87" s="22">
        <f>E$86*(1+B87/100)</f>
        <v>19592295.855000004</v>
      </c>
      <c r="F87" s="22">
        <f>F$86*(1+B87/100)</f>
        <v>19125110.895</v>
      </c>
    </row>
    <row r="88" spans="2:6" x14ac:dyDescent="0.2">
      <c r="B88" s="16">
        <v>20</v>
      </c>
      <c r="C88" s="16">
        <f>C$86+C$86*B88/100</f>
        <v>70.320000000000007</v>
      </c>
      <c r="D88" s="22">
        <f>D86+0.2*D86</f>
        <v>1551871729.2</v>
      </c>
      <c r="E88" s="22">
        <f>E$86*(1+B88/100)</f>
        <v>21373413.66</v>
      </c>
      <c r="F88" s="22">
        <f>F$86*(1+B88/100)</f>
        <v>20863757.34</v>
      </c>
    </row>
    <row r="89" spans="2:6" x14ac:dyDescent="0.2">
      <c r="B89" s="16">
        <v>30</v>
      </c>
      <c r="C89" s="16">
        <f>C$86+C$86*B89/100</f>
        <v>76.180000000000007</v>
      </c>
      <c r="D89" s="22">
        <f>D86+0.3*D86</f>
        <v>1681194373.3</v>
      </c>
      <c r="E89" s="22">
        <f>E$86*(1+B89/100)</f>
        <v>23154531.465000004</v>
      </c>
      <c r="F89" s="22">
        <f>F$86*(1+B89/100)</f>
        <v>22602403.785</v>
      </c>
    </row>
    <row r="90" spans="2:6" x14ac:dyDescent="0.2">
      <c r="B90" s="16">
        <v>40</v>
      </c>
      <c r="C90" s="16">
        <f>C$86+C$86*B90/100</f>
        <v>82.04</v>
      </c>
      <c r="D90" s="22">
        <f>D86+0.4*D86</f>
        <v>1810517017.4000001</v>
      </c>
      <c r="E90" s="22">
        <f>E$86*(1+B90/100)</f>
        <v>24935649.27</v>
      </c>
      <c r="F90" s="22">
        <f>F$86*(1+B90/100)</f>
        <v>24341050.229999997</v>
      </c>
    </row>
    <row r="91" spans="2:6" x14ac:dyDescent="0.2">
      <c r="B91" s="16">
        <v>50</v>
      </c>
      <c r="C91" s="16">
        <f>C$86+C$86*B91/100</f>
        <v>87.9</v>
      </c>
      <c r="D91" s="22">
        <f>D86+0.5*D86</f>
        <v>1939839661.5</v>
      </c>
      <c r="E91" s="22">
        <f>E$86*(1+B91/100)</f>
        <v>26716767.075000003</v>
      </c>
      <c r="F91" s="22">
        <f>F$86*(1+B91/100)</f>
        <v>26079696.674999997</v>
      </c>
    </row>
    <row r="92" spans="2:6" x14ac:dyDescent="0.2">
      <c r="B92" s="16">
        <v>60</v>
      </c>
      <c r="C92" s="16">
        <f>C$86+C$86*B92/100</f>
        <v>93.759999999999991</v>
      </c>
      <c r="D92" s="22">
        <f>D86+0.6*D86</f>
        <v>2069162305.5999999</v>
      </c>
      <c r="E92" s="22">
        <f>E$86*(1+B92/100)</f>
        <v>28497884.880000003</v>
      </c>
      <c r="F92" s="22">
        <f>F$86*(1+B92/100)</f>
        <v>27818343.120000001</v>
      </c>
    </row>
    <row r="93" spans="2:6" x14ac:dyDescent="0.2">
      <c r="B93" s="16">
        <v>70</v>
      </c>
      <c r="C93" s="16">
        <f>C$86+C$86*B93/100</f>
        <v>99.62</v>
      </c>
      <c r="D93" s="22">
        <f>D86+0.7*D86</f>
        <v>2198484949.6999998</v>
      </c>
      <c r="E93" s="22">
        <f>E$86*(1+B93/100)</f>
        <v>30279002.684999999</v>
      </c>
      <c r="F93" s="22">
        <f>F$86*(1+B93/100)</f>
        <v>29556989.564999998</v>
      </c>
    </row>
    <row r="94" spans="2:6" x14ac:dyDescent="0.2">
      <c r="B94" s="9" t="s">
        <v>116</v>
      </c>
      <c r="C94" s="9" t="s">
        <v>121</v>
      </c>
      <c r="D94" s="9" t="s">
        <v>121</v>
      </c>
      <c r="E94" s="9" t="s">
        <v>121</v>
      </c>
      <c r="F94" s="50"/>
    </row>
    <row r="95" spans="2:6" x14ac:dyDescent="0.2">
      <c r="B95" s="16">
        <v>-70</v>
      </c>
      <c r="C95" s="16">
        <v>-380.12</v>
      </c>
      <c r="D95" s="16">
        <v>2801.86</v>
      </c>
      <c r="E95" s="16">
        <v>1972.68</v>
      </c>
      <c r="F95" s="42"/>
    </row>
    <row r="96" spans="2:6" x14ac:dyDescent="0.2">
      <c r="B96" s="16">
        <v>-60</v>
      </c>
      <c r="C96" s="16">
        <v>-54.87</v>
      </c>
      <c r="D96" s="16">
        <v>2672.54</v>
      </c>
      <c r="E96" s="16">
        <v>1961.81</v>
      </c>
      <c r="F96" s="42"/>
    </row>
    <row r="97" spans="2:6" x14ac:dyDescent="0.2">
      <c r="B97" s="16">
        <v>-50</v>
      </c>
      <c r="C97" s="16">
        <v>270.37</v>
      </c>
      <c r="D97" s="16">
        <v>2543.2199999999998</v>
      </c>
      <c r="E97" s="16">
        <v>1950.94</v>
      </c>
      <c r="F97" s="42"/>
    </row>
    <row r="98" spans="2:6" x14ac:dyDescent="0.2">
      <c r="B98" s="16">
        <v>-40</v>
      </c>
      <c r="C98" s="16">
        <v>595.62</v>
      </c>
      <c r="D98" s="16">
        <v>2413.89</v>
      </c>
      <c r="E98" s="16">
        <v>1940.08</v>
      </c>
      <c r="F98" s="42"/>
    </row>
    <row r="99" spans="2:6" x14ac:dyDescent="0.2">
      <c r="B99" s="16">
        <v>-30</v>
      </c>
      <c r="C99" s="16">
        <v>920.86</v>
      </c>
      <c r="D99" s="16">
        <v>2284.5700000000002</v>
      </c>
      <c r="E99" s="16">
        <v>1929.21</v>
      </c>
      <c r="F99" s="42"/>
    </row>
    <row r="100" spans="2:6" x14ac:dyDescent="0.2">
      <c r="B100" s="16">
        <v>-20</v>
      </c>
      <c r="C100" s="16">
        <v>1246.1099999999999</v>
      </c>
      <c r="D100" s="16">
        <v>2155.25</v>
      </c>
      <c r="E100" s="16">
        <v>1918.34</v>
      </c>
      <c r="F100" s="42"/>
    </row>
    <row r="101" spans="2:6" x14ac:dyDescent="0.2">
      <c r="B101" s="16">
        <v>-10</v>
      </c>
      <c r="C101" s="16">
        <v>1571.36</v>
      </c>
      <c r="D101" s="16">
        <v>2025.92</v>
      </c>
      <c r="E101" s="16">
        <v>1907.45</v>
      </c>
      <c r="F101" s="42"/>
    </row>
    <row r="102" spans="2:6" x14ac:dyDescent="0.2">
      <c r="B102" s="72">
        <v>0</v>
      </c>
      <c r="C102" s="72">
        <v>1896.6</v>
      </c>
      <c r="D102" s="72">
        <v>1896.6</v>
      </c>
      <c r="E102" s="72">
        <v>1896.6</v>
      </c>
      <c r="F102" s="73"/>
    </row>
    <row r="103" spans="2:6" x14ac:dyDescent="0.2">
      <c r="B103" s="16">
        <v>10</v>
      </c>
      <c r="C103" s="16">
        <v>2221.85</v>
      </c>
      <c r="D103" s="16">
        <v>1767.28</v>
      </c>
      <c r="E103" s="16">
        <v>1885.73</v>
      </c>
      <c r="F103" s="42"/>
    </row>
    <row r="104" spans="2:6" x14ac:dyDescent="0.2">
      <c r="B104" s="16">
        <v>20</v>
      </c>
      <c r="C104" s="16">
        <v>2547.09</v>
      </c>
      <c r="D104" s="16">
        <v>1637.96</v>
      </c>
      <c r="E104" s="16">
        <v>1874.87</v>
      </c>
      <c r="F104" s="42"/>
    </row>
    <row r="105" spans="2:6" x14ac:dyDescent="0.2">
      <c r="B105" s="16">
        <v>30</v>
      </c>
      <c r="C105" s="16">
        <v>2872.34</v>
      </c>
      <c r="D105" s="16">
        <v>1508.63</v>
      </c>
      <c r="E105" s="16">
        <v>1864</v>
      </c>
      <c r="F105" s="42"/>
    </row>
    <row r="106" spans="2:6" x14ac:dyDescent="0.2">
      <c r="B106" s="16">
        <v>40</v>
      </c>
      <c r="C106" s="16">
        <v>3197.59</v>
      </c>
      <c r="D106" s="16">
        <v>1379.31</v>
      </c>
      <c r="E106" s="16">
        <v>1853.13</v>
      </c>
      <c r="F106" s="42"/>
    </row>
    <row r="107" spans="2:6" x14ac:dyDescent="0.2">
      <c r="B107" s="16">
        <v>50</v>
      </c>
      <c r="C107" s="16">
        <v>3522.83</v>
      </c>
      <c r="D107" s="16">
        <v>1249.99</v>
      </c>
      <c r="E107" s="16">
        <v>1842.26</v>
      </c>
      <c r="F107" s="42"/>
    </row>
    <row r="108" spans="2:6" x14ac:dyDescent="0.2">
      <c r="B108" s="16">
        <v>60</v>
      </c>
      <c r="C108" s="16">
        <v>3848.08</v>
      </c>
      <c r="D108" s="16">
        <v>1120.67</v>
      </c>
      <c r="E108" s="16">
        <v>1831.89</v>
      </c>
      <c r="F108" s="42"/>
    </row>
    <row r="109" spans="2:6" x14ac:dyDescent="0.2">
      <c r="B109" s="16">
        <v>70</v>
      </c>
      <c r="C109" s="16">
        <v>4172.32</v>
      </c>
      <c r="D109" s="16">
        <v>991.34</v>
      </c>
      <c r="E109" s="16">
        <v>1820.52</v>
      </c>
      <c r="F109" s="4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/>
  </sheetViews>
  <sheetFormatPr baseColWidth="10" defaultColWidth="13.5" defaultRowHeight="15" customHeight="1" x14ac:dyDescent="0.2"/>
  <sheetData>
    <row r="1" spans="1:10" x14ac:dyDescent="0.2">
      <c r="A1" s="5" t="s">
        <v>122</v>
      </c>
      <c r="B1" t="b">
        <f>'Investment analysis'!B34 &gt;= 'Investment analysis'!D500</f>
        <v>1</v>
      </c>
      <c r="C1" t="b">
        <f>'Investment analysis'!B34 &lt;= 'Investment analysis'!D500</f>
        <v>0</v>
      </c>
      <c r="D1" s="5" t="s">
        <v>123</v>
      </c>
      <c r="J1" s="51">
        <v>1</v>
      </c>
    </row>
    <row r="2" spans="1:10" x14ac:dyDescent="0.2">
      <c r="A2">
        <f>MIN('Investment analysis'!D48)</f>
        <v>1.2471808435768201</v>
      </c>
    </row>
    <row r="3" spans="1:10" x14ac:dyDescent="0.2">
      <c r="A3">
        <f>'Investment analysis'!B34</f>
        <v>0.51276983499999995</v>
      </c>
    </row>
    <row r="4" spans="1:10" x14ac:dyDescent="0.2">
      <c r="A4" s="5" t="s">
        <v>124</v>
      </c>
    </row>
    <row r="6" spans="1:10" x14ac:dyDescent="0.2">
      <c r="A6" s="5" t="s">
        <v>125</v>
      </c>
    </row>
    <row r="7" spans="1:10" x14ac:dyDescent="0.2">
      <c r="A7" t="b">
        <f>'Investment analysis'!D48 &lt;= 0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7"/>
  <sheetViews>
    <sheetView workbookViewId="0">
      <selection activeCell="C10" sqref="C10"/>
    </sheetView>
  </sheetViews>
  <sheetFormatPr baseColWidth="10" defaultColWidth="13.5" defaultRowHeight="15" customHeight="1" x14ac:dyDescent="0.2"/>
  <cols>
    <col min="3" max="3" width="17" customWidth="1"/>
    <col min="6" max="6" width="15.1640625" customWidth="1"/>
  </cols>
  <sheetData>
    <row r="3" spans="2:7" x14ac:dyDescent="0.2">
      <c r="B3" s="29" t="s">
        <v>29</v>
      </c>
    </row>
    <row r="5" spans="2:7" x14ac:dyDescent="0.2">
      <c r="B5" s="7" t="s">
        <v>126</v>
      </c>
    </row>
    <row r="6" spans="2:7" x14ac:dyDescent="0.2">
      <c r="B6" s="9" t="s">
        <v>50</v>
      </c>
      <c r="C6" s="9" t="s">
        <v>127</v>
      </c>
    </row>
    <row r="7" spans="2:7" x14ac:dyDescent="0.2">
      <c r="B7" s="16" t="s">
        <v>9</v>
      </c>
      <c r="C7" s="42">
        <f>1016.4+1809.7</f>
        <v>2826.1</v>
      </c>
    </row>
    <row r="8" spans="2:7" x14ac:dyDescent="0.2">
      <c r="B8" s="16" t="s">
        <v>32</v>
      </c>
      <c r="C8" s="16">
        <v>1480</v>
      </c>
    </row>
    <row r="9" spans="2:7" x14ac:dyDescent="0.2">
      <c r="B9" s="16" t="s">
        <v>86</v>
      </c>
      <c r="C9" s="16">
        <v>68.7</v>
      </c>
    </row>
    <row r="10" spans="2:7" x14ac:dyDescent="0.2">
      <c r="B10" s="52" t="s">
        <v>128</v>
      </c>
      <c r="C10" s="53">
        <f>SUM(C7:C9)</f>
        <v>4374.8</v>
      </c>
    </row>
    <row r="12" spans="2:7" x14ac:dyDescent="0.2">
      <c r="B12" s="7" t="s">
        <v>129</v>
      </c>
      <c r="G12" t="s">
        <v>231</v>
      </c>
    </row>
    <row r="13" spans="2:7" x14ac:dyDescent="0.2">
      <c r="B13" s="9" t="s">
        <v>50</v>
      </c>
      <c r="C13" s="9" t="s">
        <v>127</v>
      </c>
    </row>
    <row r="14" spans="2:7" x14ac:dyDescent="0.2">
      <c r="B14" s="16" t="s">
        <v>9</v>
      </c>
      <c r="C14" s="42">
        <f>119.42+1809.7</f>
        <v>1929.1200000000001</v>
      </c>
    </row>
    <row r="15" spans="2:7" x14ac:dyDescent="0.2">
      <c r="B15" s="16" t="s">
        <v>32</v>
      </c>
      <c r="C15" s="16">
        <v>1205.8</v>
      </c>
    </row>
    <row r="16" spans="2:7" x14ac:dyDescent="0.2">
      <c r="B16" s="16" t="s">
        <v>86</v>
      </c>
      <c r="C16" s="16">
        <v>650</v>
      </c>
    </row>
    <row r="17" spans="2:3" x14ac:dyDescent="0.2">
      <c r="B17" s="52" t="s">
        <v>128</v>
      </c>
      <c r="C17" s="53">
        <f>SUM(C14:C16)</f>
        <v>3784.92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M1000"/>
  <sheetViews>
    <sheetView workbookViewId="0">
      <selection activeCell="L18" sqref="L18"/>
    </sheetView>
  </sheetViews>
  <sheetFormatPr baseColWidth="10" defaultColWidth="13.5" defaultRowHeight="15" customHeight="1" x14ac:dyDescent="0.2"/>
  <cols>
    <col min="1" max="1" width="10.5" customWidth="1"/>
    <col min="2" max="2" width="13.33203125" customWidth="1"/>
    <col min="3" max="3" width="13.6640625" customWidth="1"/>
    <col min="4" max="4" width="12.33203125" customWidth="1"/>
    <col min="5" max="5" width="15" customWidth="1"/>
    <col min="6" max="6" width="16.1640625" customWidth="1"/>
    <col min="7" max="8" width="10.5" customWidth="1"/>
    <col min="9" max="9" width="15.33203125" customWidth="1"/>
    <col min="10" max="11" width="10.5" customWidth="1"/>
    <col min="12" max="12" width="13.6640625" customWidth="1"/>
    <col min="13" max="26" width="10.5" customWidth="1"/>
  </cols>
  <sheetData>
    <row r="1" spans="2:13" ht="15.75" customHeight="1" x14ac:dyDescent="0.2"/>
    <row r="2" spans="2:13" ht="15.75" customHeight="1" x14ac:dyDescent="0.2"/>
    <row r="3" spans="2:13" ht="15.75" customHeight="1" x14ac:dyDescent="0.2">
      <c r="B3" s="75" t="s">
        <v>3</v>
      </c>
    </row>
    <row r="4" spans="2:13" ht="15.75" customHeight="1" x14ac:dyDescent="0.2">
      <c r="B4" s="76" t="s">
        <v>10</v>
      </c>
    </row>
    <row r="5" spans="2:13" ht="15.75" customHeight="1" x14ac:dyDescent="0.2">
      <c r="B5" s="7" t="s">
        <v>130</v>
      </c>
    </row>
    <row r="6" spans="2:13" ht="15.75" customHeight="1" x14ac:dyDescent="0.2">
      <c r="B6" s="9" t="s">
        <v>131</v>
      </c>
      <c r="C6" s="9" t="s">
        <v>132</v>
      </c>
      <c r="D6" s="9" t="s">
        <v>133</v>
      </c>
      <c r="E6" s="9" t="s">
        <v>6</v>
      </c>
      <c r="F6" s="9" t="s">
        <v>134</v>
      </c>
      <c r="G6" s="9" t="s">
        <v>46</v>
      </c>
      <c r="H6" s="9" t="s">
        <v>135</v>
      </c>
      <c r="I6" s="9" t="s">
        <v>136</v>
      </c>
      <c r="L6" s="54" t="s">
        <v>137</v>
      </c>
      <c r="M6" s="54" t="s">
        <v>138</v>
      </c>
    </row>
    <row r="7" spans="2:13" ht="15.75" customHeight="1" x14ac:dyDescent="0.2">
      <c r="B7" s="16">
        <v>209600</v>
      </c>
      <c r="C7" s="16">
        <v>827.8</v>
      </c>
      <c r="D7" s="22">
        <f>B7*1000/(C7*3600)</f>
        <v>70.333682317253235</v>
      </c>
      <c r="E7" s="13">
        <v>2344</v>
      </c>
      <c r="F7" s="22">
        <f>6900+206*D7^0.9 + -950+1770*E7^0.6</f>
        <v>201605.56758941914</v>
      </c>
      <c r="G7" s="16">
        <f>'Installation Factors'!B5</f>
        <v>4.2079999999999993</v>
      </c>
      <c r="H7" s="16">
        <v>3</v>
      </c>
      <c r="I7" s="41">
        <f>F7*G7*H7*M7/L7</f>
        <v>2808585.5038204603</v>
      </c>
      <c r="L7" s="49">
        <v>525.4</v>
      </c>
      <c r="M7" s="49">
        <v>579.79999999999995</v>
      </c>
    </row>
    <row r="8" spans="2:13" ht="15.75" customHeight="1" x14ac:dyDescent="0.2"/>
    <row r="9" spans="2:13" ht="15.75" customHeight="1" x14ac:dyDescent="0.2">
      <c r="B9" s="55" t="s">
        <v>20</v>
      </c>
    </row>
    <row r="10" spans="2:13" ht="15.75" customHeight="1" x14ac:dyDescent="0.2">
      <c r="B10" s="7" t="s">
        <v>130</v>
      </c>
    </row>
    <row r="11" spans="2:13" ht="15.75" customHeight="1" x14ac:dyDescent="0.2">
      <c r="B11" s="9" t="s">
        <v>131</v>
      </c>
      <c r="C11" s="9" t="s">
        <v>132</v>
      </c>
      <c r="D11" s="9" t="s">
        <v>133</v>
      </c>
      <c r="E11" s="9" t="s">
        <v>6</v>
      </c>
      <c r="F11" s="9" t="s">
        <v>134</v>
      </c>
      <c r="G11" s="9" t="s">
        <v>139</v>
      </c>
      <c r="H11" s="9" t="s">
        <v>135</v>
      </c>
      <c r="I11" s="9" t="s">
        <v>136</v>
      </c>
    </row>
    <row r="12" spans="2:13" ht="15.75" customHeight="1" x14ac:dyDescent="0.2">
      <c r="B12" s="16">
        <v>209600</v>
      </c>
      <c r="C12" s="16">
        <v>827.8</v>
      </c>
      <c r="D12" s="22">
        <f>B12*1000/(C12*3600)</f>
        <v>70.333682317253235</v>
      </c>
      <c r="E12" s="13">
        <v>2344</v>
      </c>
      <c r="F12" s="22">
        <f>6900+206*D12^0.9 + -950+1770*E12^0.6</f>
        <v>201605.56758941914</v>
      </c>
      <c r="G12" s="16">
        <v>1.56</v>
      </c>
      <c r="H12" s="16">
        <v>3</v>
      </c>
      <c r="I12" s="41">
        <f>F12*G12*H12*M7/L7</f>
        <v>1041205.6525570148</v>
      </c>
    </row>
    <row r="13" spans="2:13" ht="15.75" customHeight="1" x14ac:dyDescent="0.2"/>
    <row r="14" spans="2:13" ht="15.75" customHeight="1" x14ac:dyDescent="0.2">
      <c r="B14" s="55" t="s">
        <v>140</v>
      </c>
    </row>
    <row r="15" spans="2:13" ht="15.75" customHeight="1" x14ac:dyDescent="0.2">
      <c r="B15" s="7" t="s">
        <v>141</v>
      </c>
    </row>
    <row r="16" spans="2:13" ht="15.75" customHeight="1" x14ac:dyDescent="0.2">
      <c r="B16" s="9" t="s">
        <v>136</v>
      </c>
      <c r="C16" s="50"/>
      <c r="D16" s="50"/>
      <c r="E16" s="50"/>
      <c r="F16" s="50"/>
      <c r="G16" s="9" t="s">
        <v>47</v>
      </c>
      <c r="H16" s="50"/>
      <c r="I16" s="9" t="s">
        <v>136</v>
      </c>
      <c r="J16" s="68"/>
      <c r="K16" s="68"/>
      <c r="L16" s="68"/>
    </row>
    <row r="17" spans="2:12" ht="15.75" customHeight="1" x14ac:dyDescent="0.2">
      <c r="B17" s="16">
        <v>10000000</v>
      </c>
      <c r="C17" s="42"/>
      <c r="D17" s="42"/>
      <c r="E17" s="42"/>
      <c r="F17" s="42"/>
      <c r="G17" s="22">
        <f>'Installation Factors'!B6</f>
        <v>1.6</v>
      </c>
      <c r="H17" s="42"/>
      <c r="I17" s="41">
        <f>B17*G17</f>
        <v>16000000</v>
      </c>
      <c r="J17" s="68"/>
      <c r="K17" s="68"/>
      <c r="L17" s="68"/>
    </row>
    <row r="18" spans="2:12" ht="15.75" customHeight="1" x14ac:dyDescent="0.2">
      <c r="J18" s="69"/>
      <c r="K18" s="69"/>
      <c r="L18" s="68"/>
    </row>
    <row r="19" spans="2:12" ht="15.75" customHeight="1" x14ac:dyDescent="0.2">
      <c r="B19" s="55" t="s">
        <v>142</v>
      </c>
      <c r="J19" s="69"/>
      <c r="K19" s="69"/>
      <c r="L19" s="68"/>
    </row>
    <row r="20" spans="2:12" ht="15.75" customHeight="1" x14ac:dyDescent="0.2">
      <c r="B20" s="7" t="s">
        <v>141</v>
      </c>
      <c r="J20" s="68"/>
      <c r="K20" s="68"/>
      <c r="L20" s="68"/>
    </row>
    <row r="21" spans="2:12" ht="15.75" customHeight="1" x14ac:dyDescent="0.2">
      <c r="B21" s="9" t="s">
        <v>136</v>
      </c>
      <c r="C21" s="50"/>
      <c r="D21" s="50"/>
      <c r="E21" s="50"/>
      <c r="F21" s="50"/>
      <c r="G21" s="9"/>
      <c r="H21" s="50"/>
      <c r="I21" s="9" t="s">
        <v>136</v>
      </c>
      <c r="J21" s="68"/>
      <c r="K21" s="68"/>
      <c r="L21" s="68"/>
    </row>
    <row r="22" spans="2:12" ht="15.75" customHeight="1" x14ac:dyDescent="0.2">
      <c r="B22" s="16">
        <v>10000000</v>
      </c>
      <c r="C22" s="42"/>
      <c r="D22" s="42"/>
      <c r="E22" s="42"/>
      <c r="F22" s="42"/>
      <c r="G22" s="22">
        <f>'Installation Factors'!B11</f>
        <v>0</v>
      </c>
      <c r="H22" s="42"/>
      <c r="I22" s="41">
        <f>B22</f>
        <v>10000000</v>
      </c>
      <c r="J22" s="68"/>
      <c r="K22" s="68"/>
      <c r="L22" s="68"/>
    </row>
    <row r="23" spans="2:12" ht="15.75" customHeight="1" x14ac:dyDescent="0.2">
      <c r="J23" s="68"/>
      <c r="K23" s="68"/>
      <c r="L23" s="68"/>
    </row>
    <row r="24" spans="2:12" ht="15.75" customHeight="1" x14ac:dyDescent="0.2">
      <c r="J24" s="69"/>
      <c r="K24" s="69"/>
      <c r="L24" s="68"/>
    </row>
    <row r="25" spans="2:12" ht="15.75" customHeight="1" x14ac:dyDescent="0.2">
      <c r="B25" s="55" t="s">
        <v>143</v>
      </c>
      <c r="C25" s="56"/>
      <c r="J25" s="69"/>
      <c r="K25" s="69"/>
      <c r="L25" s="68"/>
    </row>
    <row r="26" spans="2:12" ht="15.75" customHeight="1" x14ac:dyDescent="0.2">
      <c r="B26" s="7" t="s">
        <v>130</v>
      </c>
      <c r="C26" s="57"/>
      <c r="D26" s="69"/>
      <c r="E26" s="74"/>
      <c r="J26" s="68"/>
      <c r="K26" s="68"/>
      <c r="L26" s="68"/>
    </row>
    <row r="27" spans="2:12" ht="15.75" customHeight="1" x14ac:dyDescent="0.2">
      <c r="B27" s="9" t="s">
        <v>131</v>
      </c>
      <c r="C27" s="9" t="s">
        <v>132</v>
      </c>
      <c r="D27" s="9" t="s">
        <v>133</v>
      </c>
      <c r="E27" s="9" t="s">
        <v>6</v>
      </c>
      <c r="F27" s="9" t="s">
        <v>134</v>
      </c>
      <c r="G27" s="9" t="s">
        <v>144</v>
      </c>
      <c r="H27" s="9" t="s">
        <v>135</v>
      </c>
      <c r="I27" s="9" t="s">
        <v>136</v>
      </c>
      <c r="J27" s="68"/>
      <c r="K27" s="68"/>
      <c r="L27" s="68"/>
    </row>
    <row r="28" spans="2:12" ht="15.75" customHeight="1" x14ac:dyDescent="0.2">
      <c r="B28" s="16">
        <v>37410</v>
      </c>
      <c r="C28" s="16">
        <v>1000</v>
      </c>
      <c r="D28" s="22">
        <f>B28*1000/(C28*3600)</f>
        <v>10.391666666666667</v>
      </c>
      <c r="E28" s="13">
        <v>82.6</v>
      </c>
      <c r="F28" s="22">
        <f>6900+206*D28^0.9 + -950+1770*E28^0.6</f>
        <v>32656.626437620733</v>
      </c>
      <c r="G28" s="16">
        <f>G7</f>
        <v>4.2079999999999993</v>
      </c>
      <c r="H28" s="16">
        <v>3</v>
      </c>
      <c r="I28" s="41">
        <f>F28*G28*H28*M7/L7</f>
        <v>454942.43394692475</v>
      </c>
      <c r="J28" s="68"/>
      <c r="K28" s="68"/>
      <c r="L28" s="68"/>
    </row>
    <row r="29" spans="2:12" ht="15.75" customHeight="1" x14ac:dyDescent="0.2">
      <c r="J29" s="69"/>
      <c r="K29" s="69"/>
      <c r="L29" s="68"/>
    </row>
    <row r="30" spans="2:12" ht="15.75" customHeight="1" x14ac:dyDescent="0.2">
      <c r="J30" s="69"/>
      <c r="K30" s="69"/>
      <c r="L30" s="68"/>
    </row>
    <row r="31" spans="2:12" ht="15.75" customHeight="1" x14ac:dyDescent="0.2">
      <c r="B31" s="55" t="s">
        <v>145</v>
      </c>
      <c r="C31" s="56"/>
      <c r="J31" s="68"/>
      <c r="K31" s="68"/>
      <c r="L31" s="68"/>
    </row>
    <row r="32" spans="2:12" ht="15.75" customHeight="1" x14ac:dyDescent="0.2">
      <c r="B32" s="7" t="s">
        <v>130</v>
      </c>
      <c r="C32" s="57"/>
      <c r="D32" s="69"/>
      <c r="E32" s="69"/>
      <c r="J32" s="68"/>
      <c r="K32" s="68"/>
      <c r="L32" s="68"/>
    </row>
    <row r="33" spans="2:12" ht="15.75" customHeight="1" x14ac:dyDescent="0.2">
      <c r="B33" s="9" t="s">
        <v>131</v>
      </c>
      <c r="C33" s="9" t="s">
        <v>132</v>
      </c>
      <c r="D33" s="9" t="s">
        <v>133</v>
      </c>
      <c r="E33" s="9" t="s">
        <v>6</v>
      </c>
      <c r="F33" s="9" t="s">
        <v>134</v>
      </c>
      <c r="G33" s="9" t="s">
        <v>144</v>
      </c>
      <c r="H33" s="9" t="s">
        <v>135</v>
      </c>
      <c r="I33" s="9" t="s">
        <v>136</v>
      </c>
      <c r="J33" s="68"/>
      <c r="K33" s="68"/>
      <c r="L33" s="68"/>
    </row>
    <row r="34" spans="2:12" ht="15.75" customHeight="1" x14ac:dyDescent="0.2">
      <c r="B34" s="16">
        <v>37410</v>
      </c>
      <c r="C34" s="16">
        <v>1000</v>
      </c>
      <c r="D34" s="22">
        <f>B34*1000/(C34*3600)</f>
        <v>10.391666666666667</v>
      </c>
      <c r="E34" s="13">
        <v>82.6</v>
      </c>
      <c r="F34" s="22">
        <f>6900+206*D34^0.9 + -950+1770*E34^0.6</f>
        <v>32656.626437620733</v>
      </c>
      <c r="G34" s="16">
        <v>1.56</v>
      </c>
      <c r="H34" s="16">
        <v>3</v>
      </c>
      <c r="I34" s="41">
        <f>F34*G34*H34*M7/L7</f>
        <v>168657.36619705387</v>
      </c>
    </row>
    <row r="35" spans="2:12" ht="15.75" customHeight="1" x14ac:dyDescent="0.2"/>
    <row r="36" spans="2:12" ht="15.75" customHeight="1" x14ac:dyDescent="0.2"/>
    <row r="37" spans="2:12" ht="15.75" customHeight="1" x14ac:dyDescent="0.2">
      <c r="B37" s="29" t="s">
        <v>24</v>
      </c>
    </row>
    <row r="38" spans="2:12" ht="15.75" customHeight="1" x14ac:dyDescent="0.2">
      <c r="B38" s="55" t="s">
        <v>10</v>
      </c>
    </row>
    <row r="39" spans="2:12" ht="15.75" customHeight="1" x14ac:dyDescent="0.2">
      <c r="B39" s="7" t="s">
        <v>130</v>
      </c>
      <c r="E39" s="5"/>
    </row>
    <row r="40" spans="2:12" ht="15.75" customHeight="1" x14ac:dyDescent="0.2">
      <c r="B40" s="9" t="s">
        <v>131</v>
      </c>
      <c r="C40" s="9" t="s">
        <v>132</v>
      </c>
      <c r="D40" s="9" t="s">
        <v>133</v>
      </c>
      <c r="E40" s="9" t="s">
        <v>6</v>
      </c>
      <c r="F40" s="9" t="s">
        <v>134</v>
      </c>
      <c r="G40" s="9" t="s">
        <v>46</v>
      </c>
      <c r="H40" s="9" t="s">
        <v>135</v>
      </c>
      <c r="I40" s="9" t="s">
        <v>136</v>
      </c>
      <c r="J40" s="68"/>
      <c r="K40" s="68"/>
    </row>
    <row r="41" spans="2:12" ht="15.75" customHeight="1" x14ac:dyDescent="0.2">
      <c r="B41" s="16">
        <v>209600</v>
      </c>
      <c r="C41" s="16">
        <v>844</v>
      </c>
      <c r="D41" s="22">
        <f>B41/3600/C41*1000</f>
        <v>68.983675618746702</v>
      </c>
      <c r="E41" s="16">
        <v>2715</v>
      </c>
      <c r="F41" s="22">
        <f>6900+206*D41^0.9 + -950+1770*E41^0.6</f>
        <v>218601.26423431677</v>
      </c>
      <c r="G41" s="16">
        <f>G7</f>
        <v>4.2079999999999993</v>
      </c>
      <c r="H41" s="16">
        <v>3</v>
      </c>
      <c r="I41" s="41">
        <f>F41*G41*H41*M7/L7</f>
        <v>3045354.1000201553</v>
      </c>
      <c r="J41" s="69"/>
      <c r="K41" s="69"/>
    </row>
    <row r="42" spans="2:12" ht="15.75" customHeight="1" x14ac:dyDescent="0.2">
      <c r="J42" s="69"/>
      <c r="K42" s="69"/>
    </row>
    <row r="43" spans="2:12" ht="15.75" customHeight="1" x14ac:dyDescent="0.2">
      <c r="J43" s="70"/>
      <c r="K43" s="70"/>
    </row>
    <row r="44" spans="2:12" ht="15.75" customHeight="1" x14ac:dyDescent="0.2">
      <c r="B44" s="55" t="s">
        <v>146</v>
      </c>
      <c r="J44" s="70"/>
      <c r="K44" s="70"/>
    </row>
    <row r="45" spans="2:12" ht="15.75" customHeight="1" x14ac:dyDescent="0.2">
      <c r="B45" s="7" t="s">
        <v>130</v>
      </c>
      <c r="E45" s="5"/>
      <c r="J45" s="70"/>
      <c r="K45" s="70"/>
    </row>
    <row r="46" spans="2:12" ht="15.75" customHeight="1" x14ac:dyDescent="0.2">
      <c r="B46" s="9" t="s">
        <v>131</v>
      </c>
      <c r="C46" s="9" t="s">
        <v>132</v>
      </c>
      <c r="D46" s="9" t="s">
        <v>133</v>
      </c>
      <c r="E46" s="9" t="s">
        <v>6</v>
      </c>
      <c r="F46" s="9" t="s">
        <v>134</v>
      </c>
      <c r="G46" s="9" t="s">
        <v>46</v>
      </c>
      <c r="H46" s="9" t="s">
        <v>135</v>
      </c>
      <c r="I46" s="9" t="s">
        <v>136</v>
      </c>
      <c r="J46" s="70"/>
      <c r="K46" s="70"/>
    </row>
    <row r="47" spans="2:12" ht="15.75" customHeight="1" x14ac:dyDescent="0.2">
      <c r="B47" s="16">
        <v>209600</v>
      </c>
      <c r="C47" s="16">
        <v>844</v>
      </c>
      <c r="D47" s="22">
        <f>B47/3600/C47*1000</f>
        <v>68.983675618746702</v>
      </c>
      <c r="E47" s="16">
        <v>2715</v>
      </c>
      <c r="F47" s="22">
        <f>6900+206*D47^0.9 + -950+1770*E47^0.6</f>
        <v>218601.26423431677</v>
      </c>
      <c r="G47" s="16">
        <v>1.56</v>
      </c>
      <c r="H47" s="16">
        <v>3</v>
      </c>
      <c r="I47" s="41">
        <f>F47*G47*H47*M7/L7</f>
        <v>1128981.0827070919</v>
      </c>
      <c r="J47" s="69"/>
      <c r="K47" s="69"/>
    </row>
    <row r="48" spans="2:12" ht="15.75" customHeight="1" x14ac:dyDescent="0.2">
      <c r="J48" s="69"/>
      <c r="K48" s="69"/>
    </row>
    <row r="49" spans="2:11" ht="15.75" customHeight="1" x14ac:dyDescent="0.2">
      <c r="J49" s="70"/>
      <c r="K49" s="70"/>
    </row>
    <row r="50" spans="2:11" ht="15.75" customHeight="1" x14ac:dyDescent="0.2">
      <c r="B50" s="55" t="s">
        <v>143</v>
      </c>
      <c r="C50" s="56"/>
      <c r="J50" s="70"/>
      <c r="K50" s="70"/>
    </row>
    <row r="51" spans="2:11" ht="15.75" customHeight="1" x14ac:dyDescent="0.2">
      <c r="B51" s="7" t="s">
        <v>130</v>
      </c>
      <c r="C51" s="57"/>
      <c r="J51" s="70"/>
      <c r="K51" s="70"/>
    </row>
    <row r="52" spans="2:11" ht="15.75" customHeight="1" x14ac:dyDescent="0.2">
      <c r="B52" s="9" t="s">
        <v>131</v>
      </c>
      <c r="C52" s="9" t="s">
        <v>132</v>
      </c>
      <c r="D52" s="9" t="s">
        <v>133</v>
      </c>
      <c r="E52" s="9" t="s">
        <v>6</v>
      </c>
      <c r="F52" s="9" t="s">
        <v>134</v>
      </c>
      <c r="G52" s="9" t="s">
        <v>46</v>
      </c>
      <c r="H52" s="9" t="s">
        <v>135</v>
      </c>
      <c r="I52" s="9" t="s">
        <v>136</v>
      </c>
      <c r="J52" s="69"/>
      <c r="K52" s="69"/>
    </row>
    <row r="53" spans="2:11" ht="15.75" customHeight="1" x14ac:dyDescent="0.2">
      <c r="B53" s="16">
        <v>37410</v>
      </c>
      <c r="C53" s="16">
        <v>1000</v>
      </c>
      <c r="D53" s="22">
        <f>B53/3600/C53*1000</f>
        <v>10.391666666666667</v>
      </c>
      <c r="E53" s="16">
        <v>68.7</v>
      </c>
      <c r="F53" s="22">
        <f>6900+206*D53^0.9 + -950+1770*E53^0.6</f>
        <v>30038.691145853987</v>
      </c>
      <c r="G53" s="16">
        <f>G41</f>
        <v>4.2079999999999993</v>
      </c>
      <c r="H53" s="16">
        <v>3</v>
      </c>
      <c r="I53" s="41">
        <f>F53*G53*H53*M7/L7</f>
        <v>418471.73922201392</v>
      </c>
      <c r="J53" s="69"/>
      <c r="K53" s="69"/>
    </row>
    <row r="54" spans="2:11" ht="15.75" customHeight="1" x14ac:dyDescent="0.2">
      <c r="J54" s="68"/>
      <c r="K54" s="68"/>
    </row>
    <row r="55" spans="2:11" ht="15.75" customHeight="1" x14ac:dyDescent="0.2">
      <c r="B55" s="55" t="s">
        <v>145</v>
      </c>
      <c r="C55" s="56"/>
      <c r="J55" s="68"/>
      <c r="K55" s="68"/>
    </row>
    <row r="56" spans="2:11" ht="15.75" customHeight="1" x14ac:dyDescent="0.2">
      <c r="B56" s="7" t="s">
        <v>130</v>
      </c>
      <c r="C56" s="57"/>
    </row>
    <row r="57" spans="2:11" ht="15.75" customHeight="1" x14ac:dyDescent="0.2">
      <c r="B57" s="9" t="s">
        <v>131</v>
      </c>
      <c r="C57" s="9" t="s">
        <v>132</v>
      </c>
      <c r="D57" s="9" t="s">
        <v>133</v>
      </c>
      <c r="E57" s="9" t="s">
        <v>6</v>
      </c>
      <c r="F57" s="9" t="s">
        <v>134</v>
      </c>
      <c r="G57" s="9" t="s">
        <v>139</v>
      </c>
      <c r="H57" s="9" t="s">
        <v>135</v>
      </c>
      <c r="I57" s="9" t="s">
        <v>136</v>
      </c>
    </row>
    <row r="58" spans="2:11" ht="15.75" customHeight="1" x14ac:dyDescent="0.2">
      <c r="B58" s="16">
        <v>37410</v>
      </c>
      <c r="C58" s="16">
        <v>1000</v>
      </c>
      <c r="D58" s="22">
        <f>B58/3600/C58*1000</f>
        <v>10.391666666666667</v>
      </c>
      <c r="E58" s="16">
        <v>68.7</v>
      </c>
      <c r="F58" s="22">
        <f>6900+206*D58^0.9 + -950+1770*E58^0.6</f>
        <v>30038.691145853987</v>
      </c>
      <c r="G58" s="16">
        <v>1.56</v>
      </c>
      <c r="H58" s="16">
        <v>3</v>
      </c>
      <c r="I58" s="41">
        <f>F58*G58*H58*M7/L7</f>
        <v>155136.86149865537</v>
      </c>
    </row>
    <row r="59" spans="2:11" ht="15.75" customHeight="1" x14ac:dyDescent="0.2"/>
    <row r="60" spans="2:11" ht="15.75" customHeight="1" x14ac:dyDescent="0.2">
      <c r="B60" s="29" t="s">
        <v>29</v>
      </c>
      <c r="E60" s="68"/>
    </row>
    <row r="61" spans="2:11" ht="15.75" customHeight="1" x14ac:dyDescent="0.2">
      <c r="B61" s="7" t="s">
        <v>147</v>
      </c>
      <c r="E61" s="68"/>
    </row>
    <row r="62" spans="2:11" ht="15.75" customHeight="1" x14ac:dyDescent="0.2">
      <c r="B62" s="55" t="s">
        <v>148</v>
      </c>
      <c r="E62" s="70"/>
    </row>
    <row r="63" spans="2:11" ht="15.75" customHeight="1" x14ac:dyDescent="0.2">
      <c r="B63" s="9" t="s">
        <v>149</v>
      </c>
      <c r="C63" s="50"/>
      <c r="D63" s="50"/>
      <c r="E63" s="50"/>
      <c r="F63" s="50"/>
      <c r="G63" s="9" t="s">
        <v>47</v>
      </c>
      <c r="H63" s="50"/>
      <c r="I63" s="9" t="s">
        <v>136</v>
      </c>
    </row>
    <row r="64" spans="2:11" ht="15.75" customHeight="1" x14ac:dyDescent="0.2">
      <c r="B64" s="16">
        <f>2*10000000</f>
        <v>20000000</v>
      </c>
      <c r="C64" s="42"/>
      <c r="D64" s="42"/>
      <c r="E64" s="42"/>
      <c r="F64" s="42"/>
      <c r="G64" s="16">
        <v>1.6</v>
      </c>
      <c r="H64" s="42"/>
      <c r="I64" s="41">
        <f>B64*G64</f>
        <v>32000000</v>
      </c>
    </row>
    <row r="65" spans="2:9" ht="15.75" customHeight="1" x14ac:dyDescent="0.2"/>
    <row r="66" spans="2:9" ht="15.75" customHeight="1" x14ac:dyDescent="0.2">
      <c r="B66" s="7" t="s">
        <v>147</v>
      </c>
      <c r="E66" s="68"/>
    </row>
    <row r="67" spans="2:9" ht="15.75" customHeight="1" x14ac:dyDescent="0.2">
      <c r="B67" s="55" t="s">
        <v>19</v>
      </c>
      <c r="E67" s="70"/>
    </row>
    <row r="68" spans="2:9" ht="15.75" customHeight="1" x14ac:dyDescent="0.2">
      <c r="B68" s="9" t="s">
        <v>149</v>
      </c>
      <c r="C68" s="50"/>
      <c r="D68" s="50"/>
      <c r="E68" s="50"/>
      <c r="F68" s="50"/>
      <c r="G68" s="9"/>
      <c r="H68" s="50"/>
      <c r="I68" s="9" t="s">
        <v>136</v>
      </c>
    </row>
    <row r="69" spans="2:9" ht="15.75" customHeight="1" x14ac:dyDescent="0.2">
      <c r="B69" s="16">
        <v>10000000</v>
      </c>
      <c r="C69" s="42"/>
      <c r="D69" s="42"/>
      <c r="E69" s="42"/>
      <c r="F69" s="42"/>
      <c r="G69" s="22">
        <f>G22</f>
        <v>0</v>
      </c>
      <c r="H69" s="42"/>
      <c r="I69" s="41">
        <f>B69</f>
        <v>10000000</v>
      </c>
    </row>
    <row r="70" spans="2:9" ht="15.75" customHeight="1" x14ac:dyDescent="0.2"/>
    <row r="71" spans="2:9" ht="15.75" customHeight="1" x14ac:dyDescent="0.2">
      <c r="B71" s="55" t="s">
        <v>143</v>
      </c>
    </row>
    <row r="72" spans="2:9" ht="15.75" customHeight="1" x14ac:dyDescent="0.2">
      <c r="B72" s="7" t="s">
        <v>130</v>
      </c>
      <c r="C72" s="57"/>
    </row>
    <row r="73" spans="2:9" ht="15.75" customHeight="1" x14ac:dyDescent="0.2">
      <c r="B73" s="9" t="s">
        <v>131</v>
      </c>
      <c r="C73" s="9" t="s">
        <v>132</v>
      </c>
      <c r="D73" s="9" t="s">
        <v>133</v>
      </c>
      <c r="E73" s="9" t="s">
        <v>6</v>
      </c>
      <c r="F73" s="9" t="s">
        <v>134</v>
      </c>
      <c r="G73" s="9" t="s">
        <v>46</v>
      </c>
      <c r="H73" s="9" t="s">
        <v>135</v>
      </c>
      <c r="I73" s="9" t="s">
        <v>136</v>
      </c>
    </row>
    <row r="74" spans="2:9" ht="15.75" customHeight="1" x14ac:dyDescent="0.2">
      <c r="B74" s="16">
        <v>37440</v>
      </c>
      <c r="C74" s="16">
        <v>1000</v>
      </c>
      <c r="D74" s="22">
        <f>B74/3600/C74*1000</f>
        <v>10.4</v>
      </c>
      <c r="E74" s="16">
        <v>68.7</v>
      </c>
      <c r="F74" s="22">
        <f>6900+206*D74^0.9 + -950+1770*E74^0.6</f>
        <v>30039.913628081955</v>
      </c>
      <c r="G74" s="16">
        <f>G53</f>
        <v>4.2079999999999993</v>
      </c>
      <c r="H74" s="16">
        <v>3</v>
      </c>
      <c r="I74" s="41">
        <f>F74*G74*H74*M7/L7</f>
        <v>418488.76973315113</v>
      </c>
    </row>
    <row r="75" spans="2:9" ht="15.75" customHeight="1" x14ac:dyDescent="0.2"/>
    <row r="76" spans="2:9" ht="15.75" customHeight="1" x14ac:dyDescent="0.2">
      <c r="B76" s="55" t="s">
        <v>145</v>
      </c>
    </row>
    <row r="77" spans="2:9" ht="15.75" customHeight="1" x14ac:dyDescent="0.2">
      <c r="B77" s="7" t="s">
        <v>130</v>
      </c>
      <c r="C77" s="57"/>
    </row>
    <row r="78" spans="2:9" ht="15.75" customHeight="1" x14ac:dyDescent="0.2">
      <c r="B78" s="9" t="s">
        <v>131</v>
      </c>
      <c r="C78" s="9" t="s">
        <v>132</v>
      </c>
      <c r="D78" s="9" t="s">
        <v>133</v>
      </c>
      <c r="E78" s="9" t="s">
        <v>6</v>
      </c>
      <c r="F78" s="9" t="s">
        <v>134</v>
      </c>
      <c r="G78" s="9" t="s">
        <v>139</v>
      </c>
      <c r="H78" s="9" t="s">
        <v>135</v>
      </c>
      <c r="I78" s="9" t="s">
        <v>136</v>
      </c>
    </row>
    <row r="79" spans="2:9" ht="15.75" customHeight="1" x14ac:dyDescent="0.2">
      <c r="B79" s="16">
        <v>37440</v>
      </c>
      <c r="C79" s="16">
        <v>1000</v>
      </c>
      <c r="D79" s="22">
        <f>B79/3600/C79*1000</f>
        <v>10.4</v>
      </c>
      <c r="E79" s="16">
        <v>68.7</v>
      </c>
      <c r="F79" s="22">
        <f>6900+206*D79^0.9 + -950+1770*E79^0.6</f>
        <v>30039.913628081955</v>
      </c>
      <c r="G79" s="16">
        <f>G58</f>
        <v>1.56</v>
      </c>
      <c r="H79" s="16">
        <v>3</v>
      </c>
      <c r="I79" s="41">
        <f>F79*G79*H79*M7/L7</f>
        <v>155143.17509118724</v>
      </c>
    </row>
    <row r="80" spans="2:9" ht="15.75" customHeight="1" x14ac:dyDescent="0.2"/>
    <row r="81" spans="2:9" ht="15.75" customHeight="1" x14ac:dyDescent="0.2">
      <c r="B81" s="29" t="s">
        <v>34</v>
      </c>
    </row>
    <row r="82" spans="2:9" ht="15.75" customHeight="1" x14ac:dyDescent="0.2">
      <c r="B82" s="55" t="s">
        <v>10</v>
      </c>
    </row>
    <row r="83" spans="2:9" ht="15.75" customHeight="1" x14ac:dyDescent="0.2">
      <c r="B83" s="7" t="s">
        <v>130</v>
      </c>
      <c r="C83" s="57"/>
    </row>
    <row r="84" spans="2:9" ht="15.75" customHeight="1" x14ac:dyDescent="0.2">
      <c r="B84" s="9" t="s">
        <v>131</v>
      </c>
      <c r="C84" s="9" t="s">
        <v>132</v>
      </c>
      <c r="D84" s="9" t="s">
        <v>133</v>
      </c>
      <c r="E84" s="9" t="s">
        <v>6</v>
      </c>
      <c r="F84" s="9" t="s">
        <v>134</v>
      </c>
      <c r="G84" s="9" t="s">
        <v>46</v>
      </c>
      <c r="H84" s="9" t="s">
        <v>135</v>
      </c>
      <c r="I84" s="9" t="s">
        <v>136</v>
      </c>
    </row>
    <row r="85" spans="2:9" ht="15.75" customHeight="1" x14ac:dyDescent="0.2">
      <c r="B85" s="16">
        <v>209600</v>
      </c>
      <c r="C85" s="16">
        <v>844</v>
      </c>
      <c r="D85" s="22">
        <f>B85/3600/C85*1000</f>
        <v>68.983675618746702</v>
      </c>
      <c r="E85" s="16">
        <v>1719</v>
      </c>
      <c r="F85" s="22">
        <f>6900+206*D85^0.9 + -950 + 1770*E85^0.6</f>
        <v>169830.31824060771</v>
      </c>
      <c r="G85" s="16">
        <f>G74</f>
        <v>4.2079999999999993</v>
      </c>
      <c r="H85" s="16">
        <v>3</v>
      </c>
      <c r="I85" s="41">
        <f>F85*G85*H85*M7/L7</f>
        <v>2365921.6142839286</v>
      </c>
    </row>
    <row r="86" spans="2:9" ht="15.75" customHeight="1" x14ac:dyDescent="0.2"/>
    <row r="87" spans="2:9" ht="15.75" customHeight="1" x14ac:dyDescent="0.2">
      <c r="B87" s="55" t="s">
        <v>146</v>
      </c>
    </row>
    <row r="88" spans="2:9" ht="15.75" customHeight="1" x14ac:dyDescent="0.2">
      <c r="B88" s="7" t="s">
        <v>130</v>
      </c>
      <c r="C88" s="57"/>
    </row>
    <row r="89" spans="2:9" ht="15.75" customHeight="1" x14ac:dyDescent="0.2">
      <c r="B89" s="9" t="s">
        <v>131</v>
      </c>
      <c r="C89" s="9" t="s">
        <v>132</v>
      </c>
      <c r="D89" s="9" t="s">
        <v>133</v>
      </c>
      <c r="E89" s="9" t="s">
        <v>6</v>
      </c>
      <c r="F89" s="9" t="s">
        <v>134</v>
      </c>
      <c r="G89" s="9" t="s">
        <v>139</v>
      </c>
      <c r="H89" s="9" t="s">
        <v>135</v>
      </c>
      <c r="I89" s="9" t="s">
        <v>136</v>
      </c>
    </row>
    <row r="90" spans="2:9" ht="15.75" customHeight="1" x14ac:dyDescent="0.2">
      <c r="B90" s="16">
        <v>209600</v>
      </c>
      <c r="C90" s="16">
        <v>844</v>
      </c>
      <c r="D90" s="22">
        <f>B90/3600/C90*1000</f>
        <v>68.983675618746702</v>
      </c>
      <c r="E90" s="16">
        <v>1719</v>
      </c>
      <c r="F90" s="22">
        <f>6900+206*D90^0.9 + -950 + 1770*E90^0.6</f>
        <v>169830.31824060771</v>
      </c>
      <c r="G90" s="16">
        <f>G79</f>
        <v>1.56</v>
      </c>
      <c r="H90" s="16">
        <v>3</v>
      </c>
      <c r="I90" s="41">
        <f>F90*G90*H90*M7/L7</f>
        <v>877100.21822312963</v>
      </c>
    </row>
    <row r="91" spans="2:9" ht="15.75" customHeight="1" x14ac:dyDescent="0.2"/>
    <row r="92" spans="2:9" ht="15.75" customHeight="1" x14ac:dyDescent="0.2"/>
    <row r="93" spans="2:9" ht="15.75" customHeight="1" x14ac:dyDescent="0.2">
      <c r="B93" s="55" t="s">
        <v>143</v>
      </c>
    </row>
    <row r="94" spans="2:9" ht="15.75" customHeight="1" x14ac:dyDescent="0.2">
      <c r="B94" s="7" t="s">
        <v>130</v>
      </c>
    </row>
    <row r="95" spans="2:9" ht="15.75" customHeight="1" x14ac:dyDescent="0.2">
      <c r="B95" s="9" t="s">
        <v>131</v>
      </c>
      <c r="C95" s="9" t="s">
        <v>132</v>
      </c>
      <c r="D95" s="9" t="s">
        <v>133</v>
      </c>
      <c r="E95" s="9" t="s">
        <v>6</v>
      </c>
      <c r="F95" s="9" t="s">
        <v>134</v>
      </c>
      <c r="G95" s="9" t="s">
        <v>46</v>
      </c>
      <c r="H95" s="9" t="s">
        <v>135</v>
      </c>
      <c r="I95" s="9" t="s">
        <v>136</v>
      </c>
    </row>
    <row r="96" spans="2:9" ht="15.75" customHeight="1" x14ac:dyDescent="0.2">
      <c r="B96" s="16">
        <v>37440</v>
      </c>
      <c r="C96" s="16">
        <v>1000</v>
      </c>
      <c r="D96" s="22">
        <f>B96/3600/C96*1000</f>
        <v>10.4</v>
      </c>
      <c r="E96" s="16">
        <v>68.7</v>
      </c>
      <c r="F96" s="22">
        <f>6900+206*D96^0.9 + -950+1770*E96^0.6</f>
        <v>30039.913628081955</v>
      </c>
      <c r="G96" s="16">
        <f>G85</f>
        <v>4.2079999999999993</v>
      </c>
      <c r="H96" s="16">
        <v>3</v>
      </c>
      <c r="I96" s="41">
        <f>F96*G96*H96*M7/L7</f>
        <v>418488.76973315113</v>
      </c>
    </row>
    <row r="97" spans="2:9" ht="15.75" customHeight="1" x14ac:dyDescent="0.2"/>
    <row r="98" spans="2:9" ht="15.75" customHeight="1" x14ac:dyDescent="0.2">
      <c r="B98" s="55" t="s">
        <v>145</v>
      </c>
    </row>
    <row r="99" spans="2:9" ht="15.75" customHeight="1" x14ac:dyDescent="0.2">
      <c r="B99" s="7" t="s">
        <v>130</v>
      </c>
    </row>
    <row r="100" spans="2:9" ht="15.75" customHeight="1" x14ac:dyDescent="0.2">
      <c r="B100" s="9" t="s">
        <v>131</v>
      </c>
      <c r="C100" s="9" t="s">
        <v>132</v>
      </c>
      <c r="D100" s="9" t="s">
        <v>133</v>
      </c>
      <c r="E100" s="9" t="s">
        <v>6</v>
      </c>
      <c r="F100" s="9" t="s">
        <v>134</v>
      </c>
      <c r="G100" s="9" t="s">
        <v>139</v>
      </c>
      <c r="H100" s="9" t="s">
        <v>135</v>
      </c>
      <c r="I100" s="9" t="s">
        <v>136</v>
      </c>
    </row>
    <row r="101" spans="2:9" ht="15.75" customHeight="1" x14ac:dyDescent="0.2">
      <c r="B101" s="16">
        <v>37440</v>
      </c>
      <c r="C101" s="16">
        <v>1000</v>
      </c>
      <c r="D101" s="22">
        <f>B101/3600/C101*1000</f>
        <v>10.4</v>
      </c>
      <c r="E101" s="16">
        <v>68.7</v>
      </c>
      <c r="F101" s="22">
        <f>6900+206*D101^0.9 + -950+1770*E101^0.6</f>
        <v>30039.913628081955</v>
      </c>
      <c r="G101" s="16">
        <f>G90</f>
        <v>1.56</v>
      </c>
      <c r="H101" s="16">
        <v>3</v>
      </c>
      <c r="I101" s="41">
        <f>F101*G101*H101*M7/L7</f>
        <v>155143.17509118724</v>
      </c>
    </row>
    <row r="102" spans="2:9" ht="15.75" customHeight="1" x14ac:dyDescent="0.2"/>
    <row r="103" spans="2:9" ht="15.75" customHeight="1" x14ac:dyDescent="0.2"/>
    <row r="104" spans="2:9" ht="15.75" customHeight="1" x14ac:dyDescent="0.2"/>
    <row r="105" spans="2:9" ht="15.75" customHeight="1" x14ac:dyDescent="0.2"/>
    <row r="106" spans="2:9" ht="15.75" customHeight="1" x14ac:dyDescent="0.2"/>
    <row r="107" spans="2:9" ht="15.75" customHeight="1" x14ac:dyDescent="0.2"/>
    <row r="108" spans="2:9" ht="15.75" customHeight="1" x14ac:dyDescent="0.2"/>
    <row r="109" spans="2:9" ht="15.75" customHeight="1" x14ac:dyDescent="0.2"/>
    <row r="110" spans="2:9" ht="15.75" customHeight="1" x14ac:dyDescent="0.2"/>
    <row r="111" spans="2:9" ht="15.75" customHeight="1" x14ac:dyDescent="0.2"/>
    <row r="112" spans="2:9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1000"/>
  <sheetViews>
    <sheetView workbookViewId="0">
      <selection activeCell="I30" sqref="I30"/>
    </sheetView>
  </sheetViews>
  <sheetFormatPr baseColWidth="10" defaultColWidth="13.5" defaultRowHeight="15" customHeight="1" x14ac:dyDescent="0.2"/>
  <cols>
    <col min="1" max="2" width="10.5" customWidth="1"/>
    <col min="3" max="3" width="13.83203125" customWidth="1"/>
    <col min="4" max="5" width="10.5" customWidth="1"/>
    <col min="6" max="6" width="13.6640625" customWidth="1"/>
    <col min="7" max="7" width="10.5" customWidth="1"/>
    <col min="8" max="9" width="13.83203125" customWidth="1"/>
    <col min="10" max="26" width="10.5" customWidth="1"/>
  </cols>
  <sheetData>
    <row r="1" spans="2:10" ht="15.75" customHeight="1" x14ac:dyDescent="0.2"/>
    <row r="2" spans="2:10" ht="15.75" customHeight="1" x14ac:dyDescent="0.2"/>
    <row r="3" spans="2:10" ht="15.75" customHeight="1" x14ac:dyDescent="0.2"/>
    <row r="4" spans="2:10" ht="15.75" customHeight="1" x14ac:dyDescent="0.2"/>
    <row r="5" spans="2:10" ht="15.75" customHeight="1" x14ac:dyDescent="0.2">
      <c r="B5" s="29" t="s">
        <v>150</v>
      </c>
    </row>
    <row r="6" spans="2:10" ht="15.75" customHeight="1" x14ac:dyDescent="0.2">
      <c r="B6" s="55" t="s">
        <v>11</v>
      </c>
    </row>
    <row r="7" spans="2:10" ht="15.75" customHeight="1" x14ac:dyDescent="0.2">
      <c r="B7" s="7" t="s">
        <v>130</v>
      </c>
      <c r="E7" s="5"/>
      <c r="F7" s="5"/>
    </row>
    <row r="8" spans="2:10" ht="15.75" customHeight="1" x14ac:dyDescent="0.2">
      <c r="B8" s="9" t="s">
        <v>6</v>
      </c>
      <c r="C8" s="9" t="s">
        <v>134</v>
      </c>
      <c r="D8" s="9" t="s">
        <v>46</v>
      </c>
      <c r="E8" s="9" t="s">
        <v>135</v>
      </c>
      <c r="F8" s="9" t="s">
        <v>136</v>
      </c>
      <c r="I8" s="54" t="s">
        <v>137</v>
      </c>
      <c r="J8" s="54" t="s">
        <v>138</v>
      </c>
    </row>
    <row r="9" spans="2:10" ht="15.75" customHeight="1" x14ac:dyDescent="0.2">
      <c r="B9" s="16">
        <v>280.8</v>
      </c>
      <c r="C9" s="22">
        <f>490000+16800*B9^0.6</f>
        <v>984706.41702611814</v>
      </c>
      <c r="D9" s="16">
        <f>'Installation Factors'!B5</f>
        <v>4.2079999999999993</v>
      </c>
      <c r="E9" s="16">
        <v>3</v>
      </c>
      <c r="F9" s="18">
        <f>C9*D9*J9/I9</f>
        <v>4572678.2275029607</v>
      </c>
      <c r="I9" s="49">
        <v>525.4</v>
      </c>
      <c r="J9" s="49">
        <v>579.79999999999995</v>
      </c>
    </row>
    <row r="10" spans="2:10" ht="15.75" customHeight="1" x14ac:dyDescent="0.2"/>
    <row r="11" spans="2:10" ht="15.75" customHeight="1" x14ac:dyDescent="0.2">
      <c r="B11" s="55" t="s">
        <v>21</v>
      </c>
    </row>
    <row r="12" spans="2:10" ht="15.75" customHeight="1" x14ac:dyDescent="0.2">
      <c r="B12" s="7" t="s">
        <v>130</v>
      </c>
      <c r="E12" s="5"/>
      <c r="F12" s="5"/>
    </row>
    <row r="13" spans="2:10" ht="15.75" customHeight="1" x14ac:dyDescent="0.2">
      <c r="B13" s="9" t="s">
        <v>6</v>
      </c>
      <c r="C13" s="9" t="s">
        <v>134</v>
      </c>
      <c r="D13" s="9" t="s">
        <v>139</v>
      </c>
      <c r="E13" s="9" t="s">
        <v>135</v>
      </c>
      <c r="F13" s="9" t="s">
        <v>136</v>
      </c>
      <c r="G13" s="68"/>
      <c r="H13" s="68"/>
    </row>
    <row r="14" spans="2:10" ht="15.75" customHeight="1" x14ac:dyDescent="0.2">
      <c r="B14" s="16">
        <v>280.8</v>
      </c>
      <c r="C14" s="22">
        <f>490000+16800*B14^0.6</f>
        <v>984706.41702611814</v>
      </c>
      <c r="D14" s="16">
        <v>1.56</v>
      </c>
      <c r="E14" s="16">
        <v>3</v>
      </c>
      <c r="F14" s="18">
        <f>C14*D14*J9/I9</f>
        <v>1695194.3999298052</v>
      </c>
      <c r="G14" s="69"/>
      <c r="H14" s="69"/>
    </row>
    <row r="15" spans="2:10" ht="15.75" customHeight="1" x14ac:dyDescent="0.2">
      <c r="G15" s="69"/>
      <c r="H15" s="69"/>
    </row>
    <row r="16" spans="2:10" ht="15.75" customHeight="1" x14ac:dyDescent="0.2">
      <c r="G16" s="68"/>
      <c r="H16" s="68"/>
    </row>
    <row r="17" spans="2:8" ht="15.75" customHeight="1" x14ac:dyDescent="0.2">
      <c r="B17" s="29" t="s">
        <v>151</v>
      </c>
      <c r="G17" s="68"/>
      <c r="H17" s="68"/>
    </row>
    <row r="18" spans="2:8" ht="15.75" customHeight="1" x14ac:dyDescent="0.2">
      <c r="B18" s="55" t="s">
        <v>11</v>
      </c>
      <c r="G18" s="68"/>
      <c r="H18" s="68"/>
    </row>
    <row r="19" spans="2:8" ht="15.75" customHeight="1" x14ac:dyDescent="0.2">
      <c r="B19" s="7" t="s">
        <v>130</v>
      </c>
      <c r="G19" s="68"/>
      <c r="H19" s="68"/>
    </row>
    <row r="20" spans="2:8" ht="15.75" customHeight="1" x14ac:dyDescent="0.2">
      <c r="B20" s="9" t="s">
        <v>6</v>
      </c>
      <c r="C20" s="9" t="s">
        <v>134</v>
      </c>
      <c r="D20" s="9" t="s">
        <v>46</v>
      </c>
      <c r="E20" s="9" t="s">
        <v>135</v>
      </c>
      <c r="F20" s="9" t="s">
        <v>136</v>
      </c>
      <c r="G20" s="68"/>
      <c r="H20" s="68"/>
    </row>
    <row r="21" spans="2:8" ht="15.75" customHeight="1" x14ac:dyDescent="0.2">
      <c r="B21" s="16">
        <v>1135.3</v>
      </c>
      <c r="C21" s="22">
        <f>490000+16800*B21^0.6</f>
        <v>1633867.3514778884</v>
      </c>
      <c r="D21" s="16">
        <f>D9</f>
        <v>4.2079999999999993</v>
      </c>
      <c r="E21" s="16">
        <v>3</v>
      </c>
      <c r="F21" s="18">
        <f>C21*D21*E21*J9/I9</f>
        <v>22761554.719916195</v>
      </c>
      <c r="G21" s="68"/>
      <c r="H21" s="68"/>
    </row>
    <row r="22" spans="2:8" ht="15.75" customHeight="1" x14ac:dyDescent="0.2">
      <c r="G22" s="68"/>
      <c r="H22" s="68"/>
    </row>
    <row r="23" spans="2:8" ht="15.75" customHeight="1" x14ac:dyDescent="0.2">
      <c r="B23" s="55" t="s">
        <v>21</v>
      </c>
      <c r="G23" s="69"/>
      <c r="H23" s="69"/>
    </row>
    <row r="24" spans="2:8" ht="15.75" customHeight="1" x14ac:dyDescent="0.2">
      <c r="B24" s="7" t="s">
        <v>130</v>
      </c>
      <c r="G24" s="69"/>
      <c r="H24" s="69"/>
    </row>
    <row r="25" spans="2:8" ht="15.75" customHeight="1" x14ac:dyDescent="0.2">
      <c r="B25" s="9" t="s">
        <v>6</v>
      </c>
      <c r="C25" s="9" t="s">
        <v>134</v>
      </c>
      <c r="D25" s="9" t="s">
        <v>139</v>
      </c>
      <c r="E25" s="9" t="s">
        <v>135</v>
      </c>
      <c r="F25" s="9" t="s">
        <v>136</v>
      </c>
      <c r="G25" s="68"/>
      <c r="H25" s="68"/>
    </row>
    <row r="26" spans="2:8" ht="15.75" customHeight="1" x14ac:dyDescent="0.2">
      <c r="B26" s="16">
        <v>1135.3</v>
      </c>
      <c r="C26" s="22">
        <f>490000+16800*B26^0.6</f>
        <v>1633867.3514778884</v>
      </c>
      <c r="D26" s="16">
        <f>D14</f>
        <v>1.56</v>
      </c>
      <c r="E26" s="16">
        <v>3</v>
      </c>
      <c r="F26" s="18">
        <f>C26*D26*E26*J9/I9</f>
        <v>8438218.9551020134</v>
      </c>
      <c r="G26" s="68"/>
      <c r="H26" s="68"/>
    </row>
    <row r="27" spans="2:8" ht="15.75" customHeight="1" x14ac:dyDescent="0.2"/>
    <row r="28" spans="2:8" ht="15.75" customHeight="1" x14ac:dyDescent="0.2">
      <c r="B28" s="29" t="s">
        <v>152</v>
      </c>
    </row>
    <row r="29" spans="2:8" ht="15.75" customHeight="1" x14ac:dyDescent="0.2">
      <c r="B29" s="5" t="s">
        <v>153</v>
      </c>
    </row>
    <row r="30" spans="2:8" ht="15.75" customHeight="1" x14ac:dyDescent="0.2"/>
    <row r="31" spans="2:8" ht="15.75" customHeight="1" x14ac:dyDescent="0.2">
      <c r="B31" s="29" t="s">
        <v>154</v>
      </c>
    </row>
    <row r="32" spans="2:8" ht="15.75" customHeight="1" x14ac:dyDescent="0.2">
      <c r="B32" s="55" t="s">
        <v>11</v>
      </c>
    </row>
    <row r="33" spans="2:6" ht="15.75" customHeight="1" x14ac:dyDescent="0.2">
      <c r="B33" s="7" t="s">
        <v>130</v>
      </c>
      <c r="C33" s="57"/>
    </row>
    <row r="34" spans="2:6" ht="15.75" customHeight="1" x14ac:dyDescent="0.2">
      <c r="B34" s="9" t="s">
        <v>6</v>
      </c>
      <c r="C34" s="9" t="s">
        <v>134</v>
      </c>
      <c r="D34" s="9" t="s">
        <v>46</v>
      </c>
      <c r="E34" s="9" t="s">
        <v>135</v>
      </c>
      <c r="F34" s="9" t="s">
        <v>136</v>
      </c>
    </row>
    <row r="35" spans="2:6" ht="15.75" customHeight="1" x14ac:dyDescent="0.2">
      <c r="B35" s="16">
        <v>1050.4000000000001</v>
      </c>
      <c r="C35" s="22">
        <f>490000+16800*B35^0.6</f>
        <v>1581747.2573491565</v>
      </c>
      <c r="D35" s="16">
        <f>D21</f>
        <v>4.2079999999999993</v>
      </c>
      <c r="E35" s="16">
        <v>3</v>
      </c>
      <c r="F35" s="18">
        <f>C35*D35*E35*J9/I9</f>
        <v>22035464.946811151</v>
      </c>
    </row>
    <row r="36" spans="2:6" ht="15.75" customHeight="1" x14ac:dyDescent="0.2"/>
    <row r="37" spans="2:6" ht="15.75" customHeight="1" x14ac:dyDescent="0.2">
      <c r="B37" s="55" t="s">
        <v>21</v>
      </c>
    </row>
    <row r="38" spans="2:6" ht="15.75" customHeight="1" x14ac:dyDescent="0.2">
      <c r="B38" s="7" t="s">
        <v>130</v>
      </c>
      <c r="C38" s="57"/>
    </row>
    <row r="39" spans="2:6" ht="15.75" customHeight="1" x14ac:dyDescent="0.2">
      <c r="B39" s="9" t="s">
        <v>6</v>
      </c>
      <c r="C39" s="9" t="s">
        <v>134</v>
      </c>
      <c r="D39" s="9" t="s">
        <v>139</v>
      </c>
      <c r="E39" s="9" t="s">
        <v>135</v>
      </c>
      <c r="F39" s="9" t="s">
        <v>136</v>
      </c>
    </row>
    <row r="40" spans="2:6" ht="15.75" customHeight="1" x14ac:dyDescent="0.2">
      <c r="B40" s="16">
        <v>1050.4000000000001</v>
      </c>
      <c r="C40" s="22">
        <f>490000+16800*B40^0.6</f>
        <v>1581747.2573491565</v>
      </c>
      <c r="D40" s="16">
        <f>D26</f>
        <v>1.56</v>
      </c>
      <c r="E40" s="16">
        <v>3</v>
      </c>
      <c r="F40" s="18">
        <f>C40*D40*E40*J9/I9</f>
        <v>8169041.1875060368</v>
      </c>
    </row>
    <row r="41" spans="2:6" ht="15.75" customHeight="1" x14ac:dyDescent="0.2"/>
    <row r="42" spans="2:6" ht="15.75" customHeight="1" x14ac:dyDescent="0.2"/>
    <row r="43" spans="2:6" ht="15.75" customHeight="1" x14ac:dyDescent="0.2"/>
    <row r="44" spans="2:6" ht="15.75" customHeight="1" x14ac:dyDescent="0.2"/>
    <row r="45" spans="2:6" ht="15.75" customHeight="1" x14ac:dyDescent="0.2"/>
    <row r="46" spans="2:6" ht="15.75" customHeight="1" x14ac:dyDescent="0.2"/>
    <row r="47" spans="2:6" ht="15.75" customHeight="1" x14ac:dyDescent="0.2"/>
    <row r="48" spans="2:6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.3" footer="0.3"/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T1000"/>
  <sheetViews>
    <sheetView tabSelected="1" topLeftCell="A9" workbookViewId="0">
      <selection activeCell="I33" sqref="I33"/>
    </sheetView>
  </sheetViews>
  <sheetFormatPr baseColWidth="10" defaultColWidth="13.5" defaultRowHeight="15" customHeight="1" x14ac:dyDescent="0.2"/>
  <cols>
    <col min="1" max="1" width="10.5" customWidth="1"/>
    <col min="2" max="2" width="20.1640625" customWidth="1"/>
    <col min="3" max="3" width="16.83203125" customWidth="1"/>
    <col min="4" max="4" width="13.83203125" customWidth="1"/>
    <col min="5" max="5" width="15.1640625" customWidth="1"/>
    <col min="6" max="6" width="13" customWidth="1"/>
    <col min="7" max="7" width="13.5" customWidth="1"/>
    <col min="8" max="8" width="16" customWidth="1"/>
    <col min="9" max="9" width="11.83203125" customWidth="1"/>
    <col min="10" max="12" width="10.5" customWidth="1"/>
    <col min="13" max="13" width="12" customWidth="1"/>
    <col min="14" max="14" width="14.83203125" customWidth="1"/>
    <col min="15" max="16" width="10.5" customWidth="1"/>
    <col min="17" max="17" width="11.5" customWidth="1"/>
    <col min="18" max="26" width="10.5" customWidth="1"/>
  </cols>
  <sheetData>
    <row r="1" spans="2:20" ht="15.75" customHeight="1" x14ac:dyDescent="0.2">
      <c r="B1" s="29" t="s">
        <v>29</v>
      </c>
    </row>
    <row r="2" spans="2:20" ht="15.75" customHeight="1" x14ac:dyDescent="0.2"/>
    <row r="3" spans="2:20" ht="15.75" customHeight="1" x14ac:dyDescent="0.2">
      <c r="B3" s="29" t="s">
        <v>155</v>
      </c>
    </row>
    <row r="4" spans="2:20" ht="15.75" customHeight="1" x14ac:dyDescent="0.2">
      <c r="B4" s="7" t="s">
        <v>156</v>
      </c>
    </row>
    <row r="5" spans="2:20" ht="15.75" customHeight="1" x14ac:dyDescent="0.2">
      <c r="B5" s="9" t="s">
        <v>157</v>
      </c>
      <c r="C5" s="9" t="s">
        <v>158</v>
      </c>
      <c r="D5" s="9" t="s">
        <v>159</v>
      </c>
      <c r="E5" s="9" t="s">
        <v>160</v>
      </c>
      <c r="F5" s="9" t="s">
        <v>161</v>
      </c>
      <c r="G5" s="9" t="s">
        <v>162</v>
      </c>
      <c r="H5" s="9" t="s">
        <v>163</v>
      </c>
      <c r="I5" s="9" t="s">
        <v>164</v>
      </c>
      <c r="J5" s="9" t="s">
        <v>165</v>
      </c>
      <c r="K5" s="9" t="s">
        <v>166</v>
      </c>
      <c r="L5" s="9" t="s">
        <v>167</v>
      </c>
      <c r="M5" s="9" t="s">
        <v>168</v>
      </c>
      <c r="N5" s="9" t="s">
        <v>169</v>
      </c>
      <c r="O5" s="9" t="s">
        <v>170</v>
      </c>
      <c r="P5" s="9" t="s">
        <v>171</v>
      </c>
      <c r="Q5" s="9" t="s">
        <v>172</v>
      </c>
      <c r="R5" s="5"/>
    </row>
    <row r="6" spans="2:20" ht="15.75" customHeight="1" x14ac:dyDescent="0.2">
      <c r="B6" s="16">
        <v>834.8</v>
      </c>
      <c r="C6" s="16">
        <v>81.47</v>
      </c>
      <c r="D6" s="16">
        <f>10500/3600</f>
        <v>2.9166666666666665</v>
      </c>
      <c r="E6" s="16">
        <f>208000/3600</f>
        <v>57.777777777777779</v>
      </c>
      <c r="F6" s="22">
        <f>D6/C6</f>
        <v>3.5800499161245447E-2</v>
      </c>
      <c r="G6" s="22">
        <f>E6/B6</f>
        <v>6.9211521056274289E-2</v>
      </c>
      <c r="H6" s="16">
        <f>SQRT(0.07*(B6-C6)/C6)</f>
        <v>0.80453101916295611</v>
      </c>
      <c r="I6" s="42">
        <f>SQRT((0.5*8*F6)/(H6*3.14*5))</f>
        <v>0.1064763889069191</v>
      </c>
      <c r="J6" s="22">
        <f>5*I6</f>
        <v>0.53238194453459553</v>
      </c>
      <c r="K6" s="16">
        <f>3.14*I6^(2)/8</f>
        <v>4.4498593974030632E-3</v>
      </c>
      <c r="L6" s="22">
        <f>K6*J6</f>
        <v>2.3690247988949861E-3</v>
      </c>
      <c r="M6" s="22">
        <f>L6/G6</f>
        <v>3.4228763690495788E-2</v>
      </c>
      <c r="N6" s="16">
        <v>300</v>
      </c>
      <c r="O6" s="41">
        <f>(N6/M6)^0.34*I6</f>
        <v>2.3322845104268204</v>
      </c>
      <c r="P6" s="41">
        <f>5*O6</f>
        <v>11.661422552134102</v>
      </c>
      <c r="Q6" s="16">
        <f>3.14*O6^2*P6*0.5/4/G6</f>
        <v>359.72933557430019</v>
      </c>
    </row>
    <row r="7" spans="2:20" ht="15.75" customHeight="1" x14ac:dyDescent="0.2"/>
    <row r="8" spans="2:20" ht="15.75" customHeight="1" x14ac:dyDescent="0.2">
      <c r="B8" s="7" t="s">
        <v>173</v>
      </c>
    </row>
    <row r="9" spans="2:20" ht="15.75" customHeight="1" x14ac:dyDescent="0.2">
      <c r="B9" s="9" t="s">
        <v>164</v>
      </c>
      <c r="C9" s="9" t="s">
        <v>174</v>
      </c>
      <c r="D9" s="9" t="s">
        <v>175</v>
      </c>
      <c r="E9" s="9" t="s">
        <v>176</v>
      </c>
      <c r="F9" s="9" t="s">
        <v>177</v>
      </c>
      <c r="G9" s="9" t="s">
        <v>178</v>
      </c>
      <c r="H9" s="9" t="s">
        <v>179</v>
      </c>
    </row>
    <row r="10" spans="2:20" ht="15.75" customHeight="1" x14ac:dyDescent="0.2">
      <c r="B10" s="16">
        <f t="shared" ref="B10:C10" si="0">O6</f>
        <v>2.3322845104268204</v>
      </c>
      <c r="C10" s="22">
        <f t="shared" si="0"/>
        <v>11.661422552134102</v>
      </c>
      <c r="D10" s="16">
        <f>2000*10^5</f>
        <v>200000000</v>
      </c>
      <c r="E10" s="42">
        <f>110.7*10^5</f>
        <v>11070000</v>
      </c>
      <c r="F10" s="22">
        <f>E10*B10/(2*D10-E10)</f>
        <v>6.6383126861967193E-2</v>
      </c>
      <c r="G10" s="16">
        <v>7800</v>
      </c>
      <c r="H10" s="22">
        <f>B10*C10*F10*G10</f>
        <v>14082.681857384823</v>
      </c>
    </row>
    <row r="11" spans="2:20" ht="15.75" customHeight="1" x14ac:dyDescent="0.2">
      <c r="N11" s="5"/>
      <c r="O11" s="5"/>
      <c r="P11" s="5"/>
      <c r="S11" s="54" t="s">
        <v>137</v>
      </c>
      <c r="T11" s="54" t="s">
        <v>138</v>
      </c>
    </row>
    <row r="12" spans="2:20" ht="15.75" customHeight="1" x14ac:dyDescent="0.2">
      <c r="B12" s="7" t="s">
        <v>130</v>
      </c>
      <c r="S12" s="49">
        <v>525.4</v>
      </c>
      <c r="T12" s="49">
        <v>579.79999999999995</v>
      </c>
    </row>
    <row r="13" spans="2:20" ht="15.75" customHeight="1" x14ac:dyDescent="0.2">
      <c r="B13" s="9" t="s">
        <v>180</v>
      </c>
      <c r="C13" s="9" t="s">
        <v>46</v>
      </c>
      <c r="D13" s="9" t="s">
        <v>136</v>
      </c>
    </row>
    <row r="14" spans="2:20" ht="15.75" customHeight="1" x14ac:dyDescent="0.2">
      <c r="B14" s="22">
        <f>8800+27*H10^0.85</f>
        <v>99529.042402587336</v>
      </c>
      <c r="C14" s="16">
        <f>'Installation Factors'!B5</f>
        <v>4.2079999999999993</v>
      </c>
      <c r="D14" s="41">
        <f>B14*C14*T12/S12</f>
        <v>462182.71489791531</v>
      </c>
    </row>
    <row r="15" spans="2:20" ht="15.75" customHeight="1" x14ac:dyDescent="0.2"/>
    <row r="16" spans="2:20" ht="15.75" customHeight="1" x14ac:dyDescent="0.2"/>
    <row r="17" spans="2:17" ht="15.75" customHeight="1" x14ac:dyDescent="0.2"/>
    <row r="18" spans="2:17" ht="15.75" customHeight="1" x14ac:dyDescent="0.2">
      <c r="B18" s="29" t="s">
        <v>181</v>
      </c>
      <c r="C18" s="58"/>
      <c r="D18" s="5"/>
    </row>
    <row r="19" spans="2:17" ht="15.75" customHeight="1" x14ac:dyDescent="0.2">
      <c r="B19" s="7" t="s">
        <v>182</v>
      </c>
    </row>
    <row r="20" spans="2:17" ht="15.75" customHeight="1" x14ac:dyDescent="0.2">
      <c r="B20" s="9" t="s">
        <v>157</v>
      </c>
      <c r="C20" s="9" t="s">
        <v>158</v>
      </c>
      <c r="D20" s="9" t="s">
        <v>159</v>
      </c>
      <c r="E20" s="9" t="s">
        <v>160</v>
      </c>
      <c r="F20" s="9" t="s">
        <v>161</v>
      </c>
      <c r="G20" s="9" t="s">
        <v>162</v>
      </c>
      <c r="H20" s="9" t="s">
        <v>163</v>
      </c>
      <c r="I20" s="9" t="s">
        <v>164</v>
      </c>
      <c r="J20" s="9" t="s">
        <v>165</v>
      </c>
      <c r="K20" s="9" t="s">
        <v>166</v>
      </c>
      <c r="L20" s="9" t="s">
        <v>167</v>
      </c>
      <c r="M20" s="9" t="s">
        <v>168</v>
      </c>
      <c r="N20" s="9" t="s">
        <v>169</v>
      </c>
      <c r="O20" s="9" t="s">
        <v>170</v>
      </c>
      <c r="P20" s="9" t="s">
        <v>171</v>
      </c>
      <c r="Q20" s="9" t="s">
        <v>172</v>
      </c>
    </row>
    <row r="21" spans="2:17" ht="15.75" customHeight="1" x14ac:dyDescent="0.2">
      <c r="B21" s="16">
        <v>869</v>
      </c>
      <c r="C21" s="16">
        <v>52.74</v>
      </c>
      <c r="D21" s="16">
        <f>12720/3600</f>
        <v>3.5333333333333332</v>
      </c>
      <c r="E21" s="16">
        <f>(206200+37410)/3600</f>
        <v>67.669444444444451</v>
      </c>
      <c r="F21" s="22">
        <f>D21/C21</f>
        <v>6.6995322968019203E-2</v>
      </c>
      <c r="G21" s="22">
        <f>E21/B21</f>
        <v>7.7870476921109835E-2</v>
      </c>
      <c r="H21" s="16">
        <f>SQRT(0.07*(B21-C21)/C21)</f>
        <v>1.0408621466567098</v>
      </c>
      <c r="I21" s="42">
        <f>SQRT((0.5*8*F21)/(H21*3.14*5))</f>
        <v>0.12805773164018133</v>
      </c>
      <c r="J21" s="22">
        <f>5*I21</f>
        <v>0.64028865820090664</v>
      </c>
      <c r="K21" s="16">
        <f>3.14*I21^(2)/8</f>
        <v>6.4365221833852645E-3</v>
      </c>
      <c r="L21" s="22">
        <f>K21*J21</f>
        <v>4.1212321522801207E-3</v>
      </c>
      <c r="M21" s="22">
        <f>L21/G21</f>
        <v>5.2924193034740483E-2</v>
      </c>
      <c r="N21" s="16">
        <v>300</v>
      </c>
      <c r="O21" s="41">
        <f>(N21/M21)^0.34*I21</f>
        <v>2.4187143877515114</v>
      </c>
      <c r="P21" s="41">
        <f>5*O21</f>
        <v>12.093571938757556</v>
      </c>
      <c r="Q21" s="16">
        <f>3.14*O21^2*P21*0.5/4/G21</f>
        <v>356.60760026418251</v>
      </c>
    </row>
    <row r="22" spans="2:17" ht="15.75" customHeight="1" x14ac:dyDescent="0.2"/>
    <row r="23" spans="2:17" ht="15.75" customHeight="1" x14ac:dyDescent="0.2">
      <c r="B23" s="7" t="s">
        <v>183</v>
      </c>
    </row>
    <row r="24" spans="2:17" ht="15.75" customHeight="1" x14ac:dyDescent="0.2">
      <c r="B24" s="9" t="s">
        <v>157</v>
      </c>
      <c r="C24" s="9" t="s">
        <v>158</v>
      </c>
      <c r="D24" s="9" t="s">
        <v>159</v>
      </c>
      <c r="E24" s="9" t="s">
        <v>160</v>
      </c>
      <c r="F24" s="9" t="s">
        <v>161</v>
      </c>
      <c r="G24" s="9" t="s">
        <v>162</v>
      </c>
      <c r="H24" s="9" t="s">
        <v>163</v>
      </c>
      <c r="I24" s="9" t="s">
        <v>164</v>
      </c>
      <c r="J24" s="9" t="s">
        <v>165</v>
      </c>
      <c r="K24" s="9" t="s">
        <v>166</v>
      </c>
      <c r="L24" s="9" t="s">
        <v>167</v>
      </c>
      <c r="M24" s="9" t="s">
        <v>168</v>
      </c>
      <c r="N24" s="9" t="s">
        <v>169</v>
      </c>
      <c r="O24" s="9" t="s">
        <v>170</v>
      </c>
      <c r="P24" s="9" t="s">
        <v>171</v>
      </c>
      <c r="Q24" s="9" t="s">
        <v>172</v>
      </c>
    </row>
    <row r="25" spans="2:17" ht="15.75" customHeight="1" x14ac:dyDescent="0.2">
      <c r="B25" s="16">
        <v>1002</v>
      </c>
      <c r="C25" s="16">
        <v>18.91</v>
      </c>
      <c r="D25" s="16">
        <f>929.1/3600</f>
        <v>0.25808333333333333</v>
      </c>
      <c r="E25" s="16">
        <f>(11580+353500)/3600</f>
        <v>101.41111111111111</v>
      </c>
      <c r="F25" s="22">
        <f>D25/C25</f>
        <v>1.3647981667548034E-2</v>
      </c>
      <c r="G25" s="22">
        <f>E25/B25</f>
        <v>0.10120869372366378</v>
      </c>
      <c r="H25" s="16">
        <f>SQRT(0.07*(B25-C25)/C25)</f>
        <v>1.9076552619970588</v>
      </c>
      <c r="I25" s="42">
        <f>SQRT((0.5*8*F25)/(H25*3.14*5))</f>
        <v>4.269376323207931E-2</v>
      </c>
      <c r="J25" s="22">
        <f>5*I25</f>
        <v>0.21346881616039654</v>
      </c>
      <c r="K25" s="16">
        <f>3.14*I25^(2)/8</f>
        <v>7.1543228692486256E-4</v>
      </c>
      <c r="L25" s="22">
        <f>K25*J25</f>
        <v>1.5272248333277554E-4</v>
      </c>
      <c r="M25" s="22">
        <f>L25/G25</f>
        <v>1.5089858164730686E-3</v>
      </c>
      <c r="N25" s="16">
        <v>300</v>
      </c>
      <c r="O25" s="41">
        <f>(N25/M25)^0.33*I25</f>
        <v>2.3924801836081189</v>
      </c>
      <c r="P25" s="41">
        <f>5*O25</f>
        <v>11.962400918040593</v>
      </c>
      <c r="Q25" s="16">
        <f>3.14*O25^2*P25*0.5/4/G25</f>
        <v>265.54424507761456</v>
      </c>
    </row>
    <row r="26" spans="2:17" ht="15.75" customHeight="1" x14ac:dyDescent="0.2"/>
    <row r="27" spans="2:17" ht="15.75" customHeight="1" x14ac:dyDescent="0.2">
      <c r="B27" s="59" t="s">
        <v>184</v>
      </c>
      <c r="C27" s="60"/>
      <c r="D27" s="60"/>
      <c r="E27" s="60"/>
      <c r="F27" s="61"/>
    </row>
    <row r="28" spans="2:17" ht="15.75" customHeight="1" x14ac:dyDescent="0.2">
      <c r="H28" s="68"/>
    </row>
    <row r="29" spans="2:17" ht="15.75" customHeight="1" x14ac:dyDescent="0.2">
      <c r="B29" s="7" t="s">
        <v>173</v>
      </c>
      <c r="H29" s="70"/>
    </row>
    <row r="30" spans="2:17" ht="15.75" customHeight="1" x14ac:dyDescent="0.2">
      <c r="B30" s="9" t="s">
        <v>164</v>
      </c>
      <c r="C30" s="9" t="s">
        <v>174</v>
      </c>
      <c r="D30" s="9" t="s">
        <v>177</v>
      </c>
      <c r="E30" s="9" t="s">
        <v>178</v>
      </c>
      <c r="F30" s="9" t="s">
        <v>179</v>
      </c>
      <c r="H30" s="69"/>
      <c r="N30" s="5"/>
      <c r="O30" s="5"/>
      <c r="P30" s="5"/>
    </row>
    <row r="31" spans="2:17" ht="15.75" customHeight="1" x14ac:dyDescent="0.2">
      <c r="B31" s="16">
        <f t="shared" ref="B31:C31" si="1">O21</f>
        <v>2.4187143877515114</v>
      </c>
      <c r="C31" s="22">
        <f t="shared" si="1"/>
        <v>12.093571938757556</v>
      </c>
      <c r="D31" s="42">
        <f>100/1000</f>
        <v>0.1</v>
      </c>
      <c r="E31" s="16">
        <v>7800</v>
      </c>
      <c r="F31" s="22">
        <f>B31*C31*D31*E31</f>
        <v>22815.699229113055</v>
      </c>
      <c r="H31" s="70"/>
    </row>
    <row r="32" spans="2:17" ht="15.75" customHeight="1" x14ac:dyDescent="0.2">
      <c r="H32" s="70"/>
    </row>
    <row r="33" spans="2:10" ht="15.75" customHeight="1" x14ac:dyDescent="0.2">
      <c r="B33" s="7" t="s">
        <v>130</v>
      </c>
      <c r="E33" s="68"/>
      <c r="F33" s="68"/>
      <c r="H33" s="70"/>
    </row>
    <row r="34" spans="2:10" ht="15.75" customHeight="1" x14ac:dyDescent="0.2">
      <c r="B34" s="9" t="s">
        <v>185</v>
      </c>
      <c r="C34" s="9" t="s">
        <v>46</v>
      </c>
      <c r="D34" s="9" t="s">
        <v>136</v>
      </c>
      <c r="E34" s="69"/>
      <c r="F34" s="69"/>
      <c r="H34" s="68"/>
    </row>
    <row r="35" spans="2:10" ht="15.75" customHeight="1" x14ac:dyDescent="0.2">
      <c r="B35" s="22">
        <f>8800+27*F31^0.85</f>
        <v>145529.58000337821</v>
      </c>
      <c r="C35" s="16">
        <f>C14</f>
        <v>4.2079999999999993</v>
      </c>
      <c r="D35" s="41">
        <f>B35*C35*T12/S12</f>
        <v>675795.27302039217</v>
      </c>
      <c r="E35" s="69"/>
      <c r="F35" s="69"/>
    </row>
    <row r="36" spans="2:10" ht="15.75" customHeight="1" x14ac:dyDescent="0.2">
      <c r="E36" s="68"/>
      <c r="F36" s="68"/>
    </row>
    <row r="37" spans="2:10" ht="15.75" customHeight="1" x14ac:dyDescent="0.2">
      <c r="E37" s="68"/>
      <c r="F37" s="68"/>
    </row>
    <row r="38" spans="2:10" ht="15.75" customHeight="1" x14ac:dyDescent="0.2">
      <c r="B38" s="29" t="s">
        <v>186</v>
      </c>
    </row>
    <row r="39" spans="2:10" ht="15.75" customHeight="1" x14ac:dyDescent="0.2">
      <c r="B39" s="7" t="s">
        <v>187</v>
      </c>
    </row>
    <row r="40" spans="2:10" ht="15.75" customHeight="1" x14ac:dyDescent="0.2">
      <c r="B40" s="9" t="s">
        <v>188</v>
      </c>
      <c r="C40" s="9" t="s">
        <v>189</v>
      </c>
      <c r="D40" s="9" t="s">
        <v>190</v>
      </c>
      <c r="E40" s="9" t="s">
        <v>191</v>
      </c>
      <c r="F40" s="9" t="s">
        <v>192</v>
      </c>
      <c r="G40" s="9" t="s">
        <v>193</v>
      </c>
      <c r="H40" s="9" t="s">
        <v>194</v>
      </c>
      <c r="I40" s="9" t="s">
        <v>195</v>
      </c>
      <c r="J40" s="9" t="s">
        <v>196</v>
      </c>
    </row>
    <row r="41" spans="2:10" ht="15.75" customHeight="1" x14ac:dyDescent="0.2">
      <c r="B41" s="16">
        <v>1922</v>
      </c>
      <c r="C41" s="16">
        <v>100</v>
      </c>
      <c r="D41" s="16">
        <v>14</v>
      </c>
      <c r="E41" s="22">
        <f>C41*D41</f>
        <v>1400</v>
      </c>
      <c r="F41" s="22">
        <f>E41/B41</f>
        <v>0.72840790842872005</v>
      </c>
      <c r="G41" s="16">
        <v>1.3</v>
      </c>
      <c r="H41" s="22">
        <f>F41*G41</f>
        <v>0.94693028095733611</v>
      </c>
      <c r="I41" s="17">
        <f>(H41/(0.75*PI()))^(1/3)</f>
        <v>0.7379647589522863</v>
      </c>
      <c r="J41" s="41">
        <f>3*I41</f>
        <v>2.213894276856859</v>
      </c>
    </row>
    <row r="42" spans="2:10" ht="15.75" customHeight="1" x14ac:dyDescent="0.2"/>
    <row r="43" spans="2:10" ht="15.75" customHeight="1" x14ac:dyDescent="0.2">
      <c r="B43" s="7" t="s">
        <v>173</v>
      </c>
      <c r="H43" s="66"/>
    </row>
    <row r="44" spans="2:10" ht="15.75" customHeight="1" x14ac:dyDescent="0.2">
      <c r="B44" s="9" t="s">
        <v>164</v>
      </c>
      <c r="C44" s="9" t="s">
        <v>174</v>
      </c>
      <c r="D44" s="9" t="s">
        <v>177</v>
      </c>
      <c r="E44" s="9" t="s">
        <v>178</v>
      </c>
      <c r="F44" s="9" t="s">
        <v>197</v>
      </c>
      <c r="H44" s="74"/>
    </row>
    <row r="45" spans="2:10" ht="15.75" customHeight="1" x14ac:dyDescent="0.2">
      <c r="B45" s="16">
        <f t="shared" ref="B45:C45" si="2">I41</f>
        <v>0.7379647589522863</v>
      </c>
      <c r="C45" s="22">
        <f t="shared" si="2"/>
        <v>2.213894276856859</v>
      </c>
      <c r="D45" s="16">
        <v>0.1</v>
      </c>
      <c r="E45" s="16">
        <v>7800</v>
      </c>
      <c r="F45" s="22">
        <f>B45*C45*D45*E45</f>
        <v>1274.3452459658843</v>
      </c>
      <c r="H45" s="71"/>
    </row>
    <row r="46" spans="2:10" ht="15.75" customHeight="1" x14ac:dyDescent="0.2">
      <c r="H46" s="66"/>
    </row>
    <row r="47" spans="2:10" ht="15.75" customHeight="1" x14ac:dyDescent="0.2">
      <c r="B47" s="7" t="s">
        <v>130</v>
      </c>
      <c r="E47" s="68"/>
      <c r="F47" s="68"/>
      <c r="H47" s="66"/>
    </row>
    <row r="48" spans="2:10" ht="15.75" customHeight="1" x14ac:dyDescent="0.2">
      <c r="B48" s="9" t="s">
        <v>180</v>
      </c>
      <c r="C48" s="9" t="s">
        <v>46</v>
      </c>
      <c r="D48" s="9" t="s">
        <v>136</v>
      </c>
      <c r="E48" s="69"/>
      <c r="F48" s="69"/>
    </row>
    <row r="49" spans="2:6" ht="15.75" customHeight="1" x14ac:dyDescent="0.2">
      <c r="B49" s="22">
        <f>1000+29*F45^0.85</f>
        <v>13644.219764715212</v>
      </c>
      <c r="C49" s="16">
        <f>C35</f>
        <v>4.2079999999999993</v>
      </c>
      <c r="D49" s="41">
        <f>B49*C49*T12/S12</f>
        <v>63359.622290065745</v>
      </c>
      <c r="E49" s="69"/>
      <c r="F49" s="69"/>
    </row>
    <row r="50" spans="2:6" ht="15.75" customHeight="1" x14ac:dyDescent="0.2">
      <c r="E50" s="68"/>
      <c r="F50" s="68"/>
    </row>
    <row r="51" spans="2:6" ht="15.75" customHeight="1" x14ac:dyDescent="0.2"/>
    <row r="52" spans="2:6" ht="15.75" customHeight="1" x14ac:dyDescent="0.2"/>
    <row r="53" spans="2:6" ht="15.75" customHeight="1" x14ac:dyDescent="0.2"/>
    <row r="54" spans="2:6" ht="15.75" customHeight="1" x14ac:dyDescent="0.2"/>
    <row r="55" spans="2:6" ht="15.75" customHeight="1" x14ac:dyDescent="0.2"/>
    <row r="56" spans="2:6" ht="15.75" customHeight="1" x14ac:dyDescent="0.2"/>
    <row r="57" spans="2:6" ht="15.75" customHeight="1" x14ac:dyDescent="0.2"/>
    <row r="58" spans="2:6" ht="15.75" customHeight="1" x14ac:dyDescent="0.2"/>
    <row r="59" spans="2:6" ht="15.75" customHeight="1" x14ac:dyDescent="0.2"/>
    <row r="60" spans="2:6" ht="15.75" customHeight="1" x14ac:dyDescent="0.2"/>
    <row r="61" spans="2:6" ht="15.75" customHeight="1" x14ac:dyDescent="0.2"/>
    <row r="62" spans="2:6" ht="15.75" customHeight="1" x14ac:dyDescent="0.2"/>
    <row r="63" spans="2:6" ht="15.75" customHeight="1" x14ac:dyDescent="0.2"/>
    <row r="64" spans="2:6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12</vt:i4>
      </vt:variant>
    </vt:vector>
  </HeadingPairs>
  <TitlesOfParts>
    <vt:vector size="12" baseType="lpstr">
      <vt:lpstr>Case cost study</vt:lpstr>
      <vt:lpstr>Installation Factors</vt:lpstr>
      <vt:lpstr>Full cost calculation</vt:lpstr>
      <vt:lpstr>Investment analysis</vt:lpstr>
      <vt:lpstr>__Solver__</vt:lpstr>
      <vt:lpstr>Power consumption</vt:lpstr>
      <vt:lpstr>Pumps</vt:lpstr>
      <vt:lpstr>Compressors</vt:lpstr>
      <vt:lpstr>Separators</vt:lpstr>
      <vt:lpstr>Flowlines and risers</vt:lpstr>
      <vt:lpstr>Umbilicals</vt:lpstr>
      <vt:lpstr>Hydrocyclone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Office-bruker</cp:lastModifiedBy>
  <dcterms:modified xsi:type="dcterms:W3CDTF">2015-11-20T06:05:52Z</dcterms:modified>
</cp:coreProperties>
</file>